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\Documents\UNAM\Tesis\"/>
    </mc:Choice>
  </mc:AlternateContent>
  <bookViews>
    <workbookView xWindow="0" yWindow="0" windowWidth="20490" windowHeight="7755" firstSheet="4" activeTab="5"/>
  </bookViews>
  <sheets>
    <sheet name="Análisis Econ CCGT Nuevo" sheetId="1" r:id="rId1"/>
    <sheet name="Análisis Finan CCGT Nuevo" sheetId="11" r:id="rId2"/>
    <sheet name="Análisis Econ CCGT Nuevo (2)" sheetId="16" r:id="rId3"/>
    <sheet name="Análisis Econ ISCC Nuevo" sheetId="9" r:id="rId4"/>
    <sheet name="Análisis Finan ISCC Nuevo" sheetId="12" r:id="rId5"/>
    <sheet name="Análisis Econ CCGT GT Sauz" sheetId="10" r:id="rId6"/>
    <sheet name="Análisis Finan CCGT GT Sauz" sheetId="13" r:id="rId7"/>
    <sheet name="Tasa de descuento" sheetId="14" r:id="rId8"/>
    <sheet name="Calculo precio energia" sheetId="17" r:id="rId9"/>
    <sheet name="Hoja1" sheetId="20" r:id="rId10"/>
    <sheet name="Emisiones" sheetId="18" r:id="rId11"/>
    <sheet name="Comparación" sheetId="19" r:id="rId12"/>
  </sheets>
  <definedNames>
    <definedName name="solver_adj" localSheetId="5" hidden="1">'Análisis Econ CCGT GT Sauz'!$U$5</definedName>
    <definedName name="solver_cvg" localSheetId="5" hidden="1">0.0001</definedName>
    <definedName name="solver_drv" localSheetId="5" hidden="1">1</definedName>
    <definedName name="solver_eng" localSheetId="5" hidden="1">1</definedName>
    <definedName name="solver_est" localSheetId="5" hidden="1">1</definedName>
    <definedName name="solver_itr" localSheetId="5" hidden="1">2147483647</definedName>
    <definedName name="solver_mip" localSheetId="5" hidden="1">2147483647</definedName>
    <definedName name="solver_mni" localSheetId="5" hidden="1">30</definedName>
    <definedName name="solver_mrt" localSheetId="5" hidden="1">0.075</definedName>
    <definedName name="solver_msl" localSheetId="5" hidden="1">2</definedName>
    <definedName name="solver_neg" localSheetId="5" hidden="1">1</definedName>
    <definedName name="solver_nod" localSheetId="5" hidden="1">2147483647</definedName>
    <definedName name="solver_num" localSheetId="5" hidden="1">0</definedName>
    <definedName name="solver_nwt" localSheetId="5" hidden="1">1</definedName>
    <definedName name="solver_opt" localSheetId="5" hidden="1">'Análisis Econ CCGT GT Sauz'!$R$31</definedName>
    <definedName name="solver_pre" localSheetId="5" hidden="1">0.000001</definedName>
    <definedName name="solver_rbv" localSheetId="5" hidden="1">1</definedName>
    <definedName name="solver_rlx" localSheetId="5" hidden="1">2</definedName>
    <definedName name="solver_rsd" localSheetId="5" hidden="1">0</definedName>
    <definedName name="solver_scl" localSheetId="5" hidden="1">1</definedName>
    <definedName name="solver_sho" localSheetId="5" hidden="1">2</definedName>
    <definedName name="solver_ssz" localSheetId="5" hidden="1">100</definedName>
    <definedName name="solver_tim" localSheetId="5" hidden="1">2147483647</definedName>
    <definedName name="solver_tol" localSheetId="5" hidden="1">0.01</definedName>
    <definedName name="solver_typ" localSheetId="5" hidden="1">3</definedName>
    <definedName name="solver_val" localSheetId="5" hidden="1">2.8709</definedName>
    <definedName name="solver_ver" localSheetId="5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2" i="10" l="1"/>
  <c r="V65" i="10"/>
  <c r="V66" i="10"/>
  <c r="V73" i="10" s="1"/>
  <c r="V67" i="10"/>
  <c r="V68" i="10"/>
  <c r="V69" i="10"/>
  <c r="V70" i="10"/>
  <c r="V71" i="10"/>
  <c r="V64" i="10"/>
  <c r="T40" i="10"/>
  <c r="V44" i="10"/>
  <c r="V45" i="10"/>
  <c r="V46" i="10"/>
  <c r="V47" i="10"/>
  <c r="V48" i="10"/>
  <c r="V49" i="10"/>
  <c r="V50" i="10"/>
  <c r="V51" i="10"/>
  <c r="T5" i="10"/>
  <c r="T2" i="10"/>
  <c r="W60" i="9"/>
  <c r="X44" i="20" l="1"/>
  <c r="X45" i="20"/>
  <c r="X46" i="20"/>
  <c r="X47" i="20"/>
  <c r="X48" i="20"/>
  <c r="X49" i="20"/>
  <c r="X50" i="20"/>
  <c r="X51" i="20"/>
  <c r="X52" i="20"/>
  <c r="X53" i="20"/>
  <c r="X54" i="20"/>
  <c r="X43" i="20"/>
  <c r="W44" i="20"/>
  <c r="W45" i="20"/>
  <c r="W46" i="20"/>
  <c r="W47" i="20"/>
  <c r="W48" i="20"/>
  <c r="W49" i="20"/>
  <c r="W50" i="20"/>
  <c r="W51" i="20"/>
  <c r="W52" i="20"/>
  <c r="W53" i="20"/>
  <c r="W54" i="20"/>
  <c r="W43" i="20"/>
  <c r="V44" i="20"/>
  <c r="V45" i="20"/>
  <c r="V46" i="20"/>
  <c r="V47" i="20"/>
  <c r="V48" i="20"/>
  <c r="V49" i="20"/>
  <c r="V50" i="20"/>
  <c r="V51" i="20"/>
  <c r="V52" i="20"/>
  <c r="V53" i="20"/>
  <c r="V54" i="20"/>
  <c r="V43" i="20"/>
  <c r="U44" i="20"/>
  <c r="U45" i="20"/>
  <c r="U46" i="20"/>
  <c r="U47" i="20"/>
  <c r="U48" i="20"/>
  <c r="U49" i="20"/>
  <c r="U50" i="20"/>
  <c r="U51" i="20"/>
  <c r="U52" i="20"/>
  <c r="U53" i="20"/>
  <c r="U54" i="20"/>
  <c r="U43" i="20"/>
  <c r="T44" i="20"/>
  <c r="T45" i="20"/>
  <c r="T46" i="20"/>
  <c r="T47" i="20"/>
  <c r="T48" i="20"/>
  <c r="T49" i="20"/>
  <c r="T50" i="20"/>
  <c r="T51" i="20"/>
  <c r="T52" i="20"/>
  <c r="T53" i="20"/>
  <c r="T54" i="20"/>
  <c r="T43" i="20"/>
  <c r="S44" i="20"/>
  <c r="S45" i="20"/>
  <c r="S46" i="20"/>
  <c r="S47" i="20"/>
  <c r="S48" i="20"/>
  <c r="S49" i="20"/>
  <c r="S50" i="20"/>
  <c r="S51" i="20"/>
  <c r="S52" i="20"/>
  <c r="S53" i="20"/>
  <c r="S54" i="20"/>
  <c r="S43" i="20"/>
  <c r="R44" i="20"/>
  <c r="R45" i="20"/>
  <c r="R46" i="20"/>
  <c r="R47" i="20"/>
  <c r="R48" i="20"/>
  <c r="R49" i="20"/>
  <c r="R50" i="20"/>
  <c r="R51" i="20"/>
  <c r="R52" i="20"/>
  <c r="R53" i="20"/>
  <c r="R54" i="20"/>
  <c r="R43" i="20"/>
  <c r="Q44" i="20"/>
  <c r="Q45" i="20"/>
  <c r="Q46" i="20"/>
  <c r="Q47" i="20"/>
  <c r="Q48" i="20"/>
  <c r="Q49" i="20"/>
  <c r="Q50" i="20"/>
  <c r="Q51" i="20"/>
  <c r="Q52" i="20"/>
  <c r="Q53" i="20"/>
  <c r="Q54" i="20"/>
  <c r="Q43" i="20"/>
  <c r="P44" i="20"/>
  <c r="P45" i="20"/>
  <c r="P46" i="20"/>
  <c r="P47" i="20"/>
  <c r="P48" i="20"/>
  <c r="P49" i="20"/>
  <c r="P50" i="20"/>
  <c r="P51" i="20"/>
  <c r="P52" i="20"/>
  <c r="P53" i="20"/>
  <c r="P54" i="20"/>
  <c r="P43" i="20"/>
  <c r="X31" i="20"/>
  <c r="X32" i="20"/>
  <c r="X33" i="20"/>
  <c r="X34" i="20"/>
  <c r="X35" i="20"/>
  <c r="X36" i="20"/>
  <c r="X37" i="20"/>
  <c r="X38" i="20"/>
  <c r="X39" i="20"/>
  <c r="X40" i="20"/>
  <c r="X41" i="20"/>
  <c r="X30" i="20"/>
  <c r="W31" i="20"/>
  <c r="W32" i="20"/>
  <c r="W33" i="20"/>
  <c r="W34" i="20"/>
  <c r="W35" i="20"/>
  <c r="W36" i="20"/>
  <c r="W37" i="20"/>
  <c r="W38" i="20"/>
  <c r="W39" i="20"/>
  <c r="W40" i="20"/>
  <c r="W41" i="20"/>
  <c r="W30" i="20"/>
  <c r="V31" i="20"/>
  <c r="V32" i="20"/>
  <c r="V33" i="20"/>
  <c r="V34" i="20"/>
  <c r="V35" i="20"/>
  <c r="V36" i="20"/>
  <c r="V37" i="20"/>
  <c r="V38" i="20"/>
  <c r="V39" i="20"/>
  <c r="V40" i="20"/>
  <c r="V41" i="20"/>
  <c r="V30" i="20"/>
  <c r="U31" i="20"/>
  <c r="U32" i="20"/>
  <c r="U33" i="20"/>
  <c r="U34" i="20"/>
  <c r="U35" i="20"/>
  <c r="U36" i="20"/>
  <c r="U37" i="20"/>
  <c r="U38" i="20"/>
  <c r="U39" i="20"/>
  <c r="U40" i="20"/>
  <c r="U41" i="20"/>
  <c r="U30" i="20"/>
  <c r="T31" i="20"/>
  <c r="T32" i="20"/>
  <c r="T33" i="20"/>
  <c r="T34" i="20"/>
  <c r="T35" i="20"/>
  <c r="T36" i="20"/>
  <c r="T37" i="20"/>
  <c r="T38" i="20"/>
  <c r="T39" i="20"/>
  <c r="T40" i="20"/>
  <c r="T41" i="20"/>
  <c r="T30" i="20"/>
  <c r="S31" i="20"/>
  <c r="S32" i="20"/>
  <c r="S33" i="20"/>
  <c r="S34" i="20"/>
  <c r="S35" i="20"/>
  <c r="S36" i="20"/>
  <c r="S37" i="20"/>
  <c r="S38" i="20"/>
  <c r="S39" i="20"/>
  <c r="S40" i="20"/>
  <c r="S41" i="20"/>
  <c r="S30" i="20"/>
  <c r="R31" i="20"/>
  <c r="R32" i="20"/>
  <c r="R33" i="20"/>
  <c r="R34" i="20"/>
  <c r="R35" i="20"/>
  <c r="R36" i="20"/>
  <c r="R37" i="20"/>
  <c r="R38" i="20"/>
  <c r="R39" i="20"/>
  <c r="R40" i="20"/>
  <c r="R41" i="20"/>
  <c r="R30" i="20"/>
  <c r="Q31" i="20"/>
  <c r="Q32" i="20"/>
  <c r="Q33" i="20"/>
  <c r="Q34" i="20"/>
  <c r="Q35" i="20"/>
  <c r="Q36" i="20"/>
  <c r="Q37" i="20"/>
  <c r="Q38" i="20"/>
  <c r="Q39" i="20"/>
  <c r="Q40" i="20"/>
  <c r="Q41" i="20"/>
  <c r="Q30" i="20"/>
  <c r="P38" i="20"/>
  <c r="P39" i="20"/>
  <c r="P40" i="20"/>
  <c r="P41" i="20"/>
  <c r="P37" i="20"/>
  <c r="X17" i="20"/>
  <c r="X18" i="20"/>
  <c r="X19" i="20"/>
  <c r="X20" i="20"/>
  <c r="X21" i="20"/>
  <c r="X22" i="20"/>
  <c r="X23" i="20"/>
  <c r="X24" i="20"/>
  <c r="X25" i="20"/>
  <c r="X26" i="20"/>
  <c r="X27" i="20"/>
  <c r="X16" i="20"/>
  <c r="W17" i="20"/>
  <c r="W18" i="20"/>
  <c r="W19" i="20"/>
  <c r="W20" i="20"/>
  <c r="W21" i="20"/>
  <c r="W22" i="20"/>
  <c r="W23" i="20"/>
  <c r="W24" i="20"/>
  <c r="W25" i="20"/>
  <c r="W26" i="20"/>
  <c r="W27" i="20"/>
  <c r="W16" i="20"/>
  <c r="V17" i="20"/>
  <c r="V18" i="20"/>
  <c r="V19" i="20"/>
  <c r="V20" i="20"/>
  <c r="V21" i="20"/>
  <c r="V22" i="20"/>
  <c r="V23" i="20"/>
  <c r="V24" i="20"/>
  <c r="V25" i="20"/>
  <c r="V26" i="20"/>
  <c r="V27" i="20"/>
  <c r="V16" i="20"/>
  <c r="U17" i="20"/>
  <c r="U18" i="20"/>
  <c r="U19" i="20"/>
  <c r="U20" i="20"/>
  <c r="U21" i="20"/>
  <c r="U22" i="20"/>
  <c r="U23" i="20"/>
  <c r="U24" i="20"/>
  <c r="U25" i="20"/>
  <c r="U26" i="20"/>
  <c r="U27" i="20"/>
  <c r="U16" i="20"/>
  <c r="T17" i="20"/>
  <c r="T18" i="20"/>
  <c r="T19" i="20"/>
  <c r="T20" i="20"/>
  <c r="T21" i="20"/>
  <c r="T22" i="20"/>
  <c r="T23" i="20"/>
  <c r="T24" i="20"/>
  <c r="T25" i="20"/>
  <c r="T26" i="20"/>
  <c r="T27" i="20"/>
  <c r="T16" i="20"/>
  <c r="S17" i="20"/>
  <c r="S18" i="20"/>
  <c r="S19" i="20"/>
  <c r="S20" i="20"/>
  <c r="S21" i="20"/>
  <c r="S22" i="20"/>
  <c r="S23" i="20"/>
  <c r="S24" i="20"/>
  <c r="S25" i="20"/>
  <c r="S26" i="20"/>
  <c r="S27" i="20"/>
  <c r="S16" i="20"/>
  <c r="R17" i="20"/>
  <c r="R18" i="20"/>
  <c r="R19" i="20"/>
  <c r="R20" i="20"/>
  <c r="R21" i="20"/>
  <c r="R22" i="20"/>
  <c r="R23" i="20"/>
  <c r="R24" i="20"/>
  <c r="R25" i="20"/>
  <c r="R26" i="20"/>
  <c r="R27" i="20"/>
  <c r="R16" i="20"/>
  <c r="Q17" i="20"/>
  <c r="Q18" i="20"/>
  <c r="Q19" i="20"/>
  <c r="Q20" i="20"/>
  <c r="Q21" i="20"/>
  <c r="Q22" i="20"/>
  <c r="Q23" i="20"/>
  <c r="Q24" i="20"/>
  <c r="Q25" i="20"/>
  <c r="Q26" i="20"/>
  <c r="Q27" i="20"/>
  <c r="Q16" i="20"/>
  <c r="P17" i="20"/>
  <c r="P18" i="20"/>
  <c r="P19" i="20"/>
  <c r="P20" i="20"/>
  <c r="P21" i="20"/>
  <c r="P22" i="20"/>
  <c r="P23" i="20"/>
  <c r="P24" i="20"/>
  <c r="P25" i="20"/>
  <c r="P26" i="20"/>
  <c r="P27" i="20"/>
  <c r="P16" i="20"/>
  <c r="X4" i="20"/>
  <c r="X5" i="20"/>
  <c r="X6" i="20"/>
  <c r="X7" i="20"/>
  <c r="X8" i="20"/>
  <c r="X9" i="20"/>
  <c r="X10" i="20"/>
  <c r="X11" i="20"/>
  <c r="X12" i="20"/>
  <c r="X13" i="20"/>
  <c r="X14" i="20"/>
  <c r="X3" i="20"/>
  <c r="W4" i="20"/>
  <c r="W5" i="20"/>
  <c r="W6" i="20"/>
  <c r="W7" i="20"/>
  <c r="W8" i="20"/>
  <c r="W9" i="20"/>
  <c r="W10" i="20"/>
  <c r="W11" i="20"/>
  <c r="W12" i="20"/>
  <c r="W13" i="20"/>
  <c r="W14" i="20"/>
  <c r="W3" i="20"/>
  <c r="V4" i="20"/>
  <c r="V5" i="20"/>
  <c r="V6" i="20"/>
  <c r="V7" i="20"/>
  <c r="V8" i="20"/>
  <c r="V9" i="20"/>
  <c r="V10" i="20"/>
  <c r="V11" i="20"/>
  <c r="V12" i="20"/>
  <c r="V13" i="20"/>
  <c r="V14" i="20"/>
  <c r="V3" i="20"/>
  <c r="U4" i="20"/>
  <c r="U5" i="20"/>
  <c r="U6" i="20"/>
  <c r="U7" i="20"/>
  <c r="U8" i="20"/>
  <c r="U9" i="20"/>
  <c r="U10" i="20"/>
  <c r="U11" i="20"/>
  <c r="U12" i="20"/>
  <c r="U13" i="20"/>
  <c r="U14" i="20"/>
  <c r="U3" i="20"/>
  <c r="T4" i="20"/>
  <c r="T5" i="20"/>
  <c r="T6" i="20"/>
  <c r="T7" i="20"/>
  <c r="T8" i="20"/>
  <c r="T9" i="20"/>
  <c r="T10" i="20"/>
  <c r="T11" i="20"/>
  <c r="T12" i="20"/>
  <c r="T13" i="20"/>
  <c r="T14" i="20"/>
  <c r="T3" i="20"/>
  <c r="S4" i="20"/>
  <c r="S5" i="20"/>
  <c r="S6" i="20"/>
  <c r="S7" i="20"/>
  <c r="S8" i="20"/>
  <c r="S9" i="20"/>
  <c r="S10" i="20"/>
  <c r="S11" i="20"/>
  <c r="S12" i="20"/>
  <c r="S13" i="20"/>
  <c r="S14" i="20"/>
  <c r="S3" i="20"/>
  <c r="R4" i="20"/>
  <c r="R5" i="20"/>
  <c r="R6" i="20"/>
  <c r="R7" i="20"/>
  <c r="R8" i="20"/>
  <c r="R9" i="20"/>
  <c r="R10" i="20"/>
  <c r="R11" i="20"/>
  <c r="R12" i="20"/>
  <c r="R13" i="20"/>
  <c r="R14" i="20"/>
  <c r="R3" i="20"/>
  <c r="Q4" i="20"/>
  <c r="Q5" i="20"/>
  <c r="Q6" i="20"/>
  <c r="Q7" i="20"/>
  <c r="Q8" i="20"/>
  <c r="Q9" i="20"/>
  <c r="Q10" i="20"/>
  <c r="Q11" i="20"/>
  <c r="Q12" i="20"/>
  <c r="Q13" i="20"/>
  <c r="Q14" i="20"/>
  <c r="Q3" i="20"/>
  <c r="P11" i="20"/>
  <c r="P12" i="20"/>
  <c r="P13" i="20"/>
  <c r="P14" i="20"/>
  <c r="P10" i="20"/>
  <c r="L30" i="20"/>
  <c r="L19" i="20"/>
  <c r="L20" i="20"/>
  <c r="L21" i="20"/>
  <c r="L22" i="20"/>
  <c r="L23" i="20"/>
  <c r="L24" i="20"/>
  <c r="L18" i="20"/>
  <c r="K19" i="20"/>
  <c r="K20" i="20"/>
  <c r="K21" i="20"/>
  <c r="K22" i="20"/>
  <c r="K23" i="20"/>
  <c r="K24" i="20"/>
  <c r="K25" i="20"/>
  <c r="K26" i="20"/>
  <c r="K27" i="20"/>
  <c r="K28" i="20"/>
  <c r="K29" i="20"/>
  <c r="K18" i="20"/>
  <c r="J19" i="20"/>
  <c r="J20" i="20"/>
  <c r="J21" i="20"/>
  <c r="J22" i="20"/>
  <c r="J23" i="20"/>
  <c r="J24" i="20"/>
  <c r="J25" i="20"/>
  <c r="J26" i="20"/>
  <c r="J27" i="20"/>
  <c r="J28" i="20"/>
  <c r="J29" i="20"/>
  <c r="J18" i="20"/>
  <c r="I19" i="20"/>
  <c r="I20" i="20"/>
  <c r="I21" i="20"/>
  <c r="I22" i="20"/>
  <c r="I23" i="20"/>
  <c r="I24" i="20"/>
  <c r="I25" i="20"/>
  <c r="I26" i="20"/>
  <c r="I27" i="20"/>
  <c r="I28" i="20"/>
  <c r="I29" i="20"/>
  <c r="I18" i="20"/>
  <c r="H19" i="20"/>
  <c r="H20" i="20"/>
  <c r="H21" i="20"/>
  <c r="H22" i="20"/>
  <c r="H23" i="20"/>
  <c r="H24" i="20"/>
  <c r="H25" i="20"/>
  <c r="H26" i="20"/>
  <c r="H27" i="20"/>
  <c r="H28" i="20"/>
  <c r="H29" i="20"/>
  <c r="H18" i="20"/>
  <c r="G19" i="20"/>
  <c r="G20" i="20"/>
  <c r="G21" i="20"/>
  <c r="G22" i="20"/>
  <c r="G23" i="20"/>
  <c r="G24" i="20"/>
  <c r="G25" i="20"/>
  <c r="G26" i="20"/>
  <c r="G27" i="20"/>
  <c r="G28" i="20"/>
  <c r="G29" i="20"/>
  <c r="G18" i="20"/>
  <c r="F19" i="20"/>
  <c r="F20" i="20"/>
  <c r="F21" i="20"/>
  <c r="F22" i="20"/>
  <c r="F23" i="20"/>
  <c r="F24" i="20"/>
  <c r="F25" i="20"/>
  <c r="F26" i="20"/>
  <c r="F27" i="20"/>
  <c r="F28" i="20"/>
  <c r="F29" i="20"/>
  <c r="F18" i="20"/>
  <c r="E19" i="20"/>
  <c r="E20" i="20"/>
  <c r="E21" i="20"/>
  <c r="E22" i="20"/>
  <c r="E23" i="20"/>
  <c r="E24" i="20"/>
  <c r="E25" i="20"/>
  <c r="E26" i="20"/>
  <c r="E27" i="20"/>
  <c r="E28" i="20"/>
  <c r="E29" i="20"/>
  <c r="E18" i="20"/>
  <c r="D19" i="20"/>
  <c r="D20" i="20"/>
  <c r="D21" i="20"/>
  <c r="D22" i="20"/>
  <c r="D23" i="20"/>
  <c r="D24" i="20"/>
  <c r="D25" i="20"/>
  <c r="D26" i="20"/>
  <c r="D27" i="20"/>
  <c r="D28" i="20"/>
  <c r="D29" i="20"/>
  <c r="D18" i="20"/>
  <c r="C19" i="20"/>
  <c r="C20" i="20"/>
  <c r="C21" i="20"/>
  <c r="C22" i="20"/>
  <c r="C23" i="20"/>
  <c r="C24" i="20"/>
  <c r="C25" i="20"/>
  <c r="C26" i="20"/>
  <c r="C27" i="20"/>
  <c r="C28" i="20"/>
  <c r="C29" i="20"/>
  <c r="C18" i="20"/>
  <c r="L15" i="20"/>
  <c r="L4" i="20"/>
  <c r="L5" i="20"/>
  <c r="L6" i="20"/>
  <c r="L7" i="20"/>
  <c r="L8" i="20"/>
  <c r="L9" i="20"/>
  <c r="L3" i="20"/>
  <c r="K4" i="20"/>
  <c r="K5" i="20"/>
  <c r="K6" i="20"/>
  <c r="K7" i="20"/>
  <c r="K8" i="20"/>
  <c r="K9" i="20"/>
  <c r="K10" i="20"/>
  <c r="K11" i="20"/>
  <c r="K12" i="20"/>
  <c r="K13" i="20"/>
  <c r="K14" i="20"/>
  <c r="K3" i="20"/>
  <c r="J4" i="20"/>
  <c r="J5" i="20"/>
  <c r="J6" i="20"/>
  <c r="J7" i="20"/>
  <c r="J8" i="20"/>
  <c r="J9" i="20"/>
  <c r="J10" i="20"/>
  <c r="J11" i="20"/>
  <c r="J12" i="20"/>
  <c r="J13" i="20"/>
  <c r="J14" i="20"/>
  <c r="J3" i="20"/>
  <c r="I4" i="20"/>
  <c r="I5" i="20"/>
  <c r="I6" i="20"/>
  <c r="I7" i="20"/>
  <c r="I8" i="20"/>
  <c r="I9" i="20"/>
  <c r="I10" i="20"/>
  <c r="I11" i="20"/>
  <c r="I12" i="20"/>
  <c r="I13" i="20"/>
  <c r="I14" i="20"/>
  <c r="I3" i="20"/>
  <c r="H4" i="20"/>
  <c r="H5" i="20"/>
  <c r="H6" i="20"/>
  <c r="H7" i="20"/>
  <c r="H8" i="20"/>
  <c r="H9" i="20"/>
  <c r="H10" i="20"/>
  <c r="H11" i="20"/>
  <c r="H12" i="20"/>
  <c r="H13" i="20"/>
  <c r="H14" i="20"/>
  <c r="H3" i="20"/>
  <c r="G4" i="20"/>
  <c r="G5" i="20"/>
  <c r="G6" i="20"/>
  <c r="G7" i="20"/>
  <c r="G8" i="20"/>
  <c r="G9" i="20"/>
  <c r="G10" i="20"/>
  <c r="G11" i="20"/>
  <c r="G12" i="20"/>
  <c r="G13" i="20"/>
  <c r="G14" i="20"/>
  <c r="G3" i="20"/>
  <c r="F4" i="20"/>
  <c r="F5" i="20"/>
  <c r="F6" i="20"/>
  <c r="F7" i="20"/>
  <c r="F8" i="20"/>
  <c r="F9" i="20"/>
  <c r="F10" i="20"/>
  <c r="F11" i="20"/>
  <c r="F12" i="20"/>
  <c r="F13" i="20"/>
  <c r="F14" i="20"/>
  <c r="F3" i="20"/>
  <c r="E4" i="20"/>
  <c r="E5" i="20"/>
  <c r="E6" i="20"/>
  <c r="E7" i="20"/>
  <c r="E8" i="20"/>
  <c r="E9" i="20"/>
  <c r="E10" i="20"/>
  <c r="E11" i="20"/>
  <c r="E12" i="20"/>
  <c r="E13" i="20"/>
  <c r="E14" i="20"/>
  <c r="E3" i="20"/>
  <c r="D4" i="20"/>
  <c r="D5" i="20"/>
  <c r="D6" i="20"/>
  <c r="D7" i="20"/>
  <c r="D8" i="20"/>
  <c r="D9" i="20"/>
  <c r="D10" i="20"/>
  <c r="D11" i="20"/>
  <c r="D12" i="20"/>
  <c r="D13" i="20"/>
  <c r="D14" i="20"/>
  <c r="D3" i="20"/>
  <c r="C4" i="20"/>
  <c r="C5" i="20"/>
  <c r="C6" i="20"/>
  <c r="C7" i="20"/>
  <c r="C8" i="20"/>
  <c r="C9" i="20"/>
  <c r="C10" i="20"/>
  <c r="C11" i="20"/>
  <c r="C12" i="20"/>
  <c r="C13" i="20"/>
  <c r="C14" i="20"/>
  <c r="C3" i="20"/>
  <c r="D10" i="19" l="1"/>
  <c r="C10" i="19"/>
  <c r="E3" i="19"/>
  <c r="D4" i="19"/>
  <c r="D5" i="19"/>
  <c r="D6" i="19"/>
  <c r="D7" i="19"/>
  <c r="D8" i="19"/>
  <c r="D9" i="19"/>
  <c r="D3" i="19"/>
  <c r="C4" i="19"/>
  <c r="C5" i="19"/>
  <c r="C6" i="19"/>
  <c r="C7" i="19"/>
  <c r="C8" i="19"/>
  <c r="C9" i="19"/>
  <c r="C3" i="19"/>
  <c r="U30" i="9" l="1"/>
  <c r="T34" i="16"/>
  <c r="T28" i="16"/>
  <c r="M240" i="17" l="1"/>
  <c r="M241" i="17"/>
  <c r="M242" i="17"/>
  <c r="M243" i="17"/>
  <c r="M244" i="17"/>
  <c r="M245" i="17"/>
  <c r="M246" i="17"/>
  <c r="M247" i="17"/>
  <c r="M248" i="17"/>
  <c r="M249" i="17"/>
  <c r="M250" i="17"/>
  <c r="M251" i="17"/>
  <c r="M252" i="17"/>
  <c r="M253" i="17"/>
  <c r="M254" i="17"/>
  <c r="M255" i="17"/>
  <c r="M256" i="17"/>
  <c r="M257" i="17"/>
  <c r="M258" i="17"/>
  <c r="M259" i="17"/>
  <c r="M260" i="17"/>
  <c r="M261" i="17"/>
  <c r="M262" i="17"/>
  <c r="M263" i="17"/>
  <c r="M264" i="17"/>
  <c r="M265" i="17"/>
  <c r="M266" i="17"/>
  <c r="M267" i="17"/>
  <c r="M268" i="17"/>
  <c r="M269" i="17"/>
  <c r="M270" i="17"/>
  <c r="M271" i="17"/>
  <c r="M272" i="17"/>
  <c r="M273" i="17"/>
  <c r="M274" i="17"/>
  <c r="M275" i="17"/>
  <c r="M276" i="17"/>
  <c r="M277" i="17"/>
  <c r="M278" i="17"/>
  <c r="M279" i="17"/>
  <c r="M280" i="17"/>
  <c r="M281" i="17"/>
  <c r="M282" i="17"/>
  <c r="M283" i="17"/>
  <c r="M284" i="17"/>
  <c r="M285" i="17"/>
  <c r="M286" i="17"/>
  <c r="M287" i="17"/>
  <c r="M288" i="17"/>
  <c r="M289" i="17"/>
  <c r="M290" i="17"/>
  <c r="M291" i="17"/>
  <c r="M292" i="17"/>
  <c r="M293" i="17"/>
  <c r="M294" i="17"/>
  <c r="M295" i="17"/>
  <c r="M296" i="17"/>
  <c r="M297" i="17"/>
  <c r="M298" i="17"/>
  <c r="M299" i="17"/>
  <c r="M300" i="17"/>
  <c r="M301" i="17"/>
  <c r="M302" i="17"/>
  <c r="M303" i="17"/>
  <c r="M304" i="17"/>
  <c r="M305" i="17"/>
  <c r="M306" i="17"/>
  <c r="M307" i="17"/>
  <c r="M308" i="17"/>
  <c r="M309" i="17"/>
  <c r="M310" i="17"/>
  <c r="M311" i="17"/>
  <c r="M312" i="17"/>
  <c r="M313" i="17"/>
  <c r="M314" i="17"/>
  <c r="M315" i="17"/>
  <c r="M316" i="17"/>
  <c r="M317" i="17"/>
  <c r="M318" i="17"/>
  <c r="M319" i="17"/>
  <c r="M320" i="17"/>
  <c r="M321" i="17"/>
  <c r="M322" i="17"/>
  <c r="M323" i="17"/>
  <c r="M324" i="17"/>
  <c r="M325" i="17"/>
  <c r="M326" i="17"/>
  <c r="M327" i="17"/>
  <c r="M328" i="17"/>
  <c r="K240" i="17"/>
  <c r="K241" i="17"/>
  <c r="K242" i="17" s="1"/>
  <c r="K243" i="17" s="1"/>
  <c r="K244" i="17" s="1"/>
  <c r="K245" i="17" s="1"/>
  <c r="K246" i="17" s="1"/>
  <c r="K247" i="17" s="1"/>
  <c r="K248" i="17" s="1"/>
  <c r="K249" i="17" s="1"/>
  <c r="K250" i="17" s="1"/>
  <c r="K251" i="17" s="1"/>
  <c r="K252" i="17" s="1"/>
  <c r="K253" i="17" s="1"/>
  <c r="K254" i="17" s="1"/>
  <c r="K255" i="17" s="1"/>
  <c r="K256" i="17" s="1"/>
  <c r="K257" i="17" s="1"/>
  <c r="K258" i="17" s="1"/>
  <c r="K259" i="17" s="1"/>
  <c r="K260" i="17" s="1"/>
  <c r="K261" i="17" s="1"/>
  <c r="K262" i="17" s="1"/>
  <c r="K263" i="17" s="1"/>
  <c r="K264" i="17" s="1"/>
  <c r="K265" i="17" s="1"/>
  <c r="K266" i="17" s="1"/>
  <c r="K267" i="17" s="1"/>
  <c r="K268" i="17" s="1"/>
  <c r="K269" i="17" s="1"/>
  <c r="K270" i="17" s="1"/>
  <c r="K271" i="17" s="1"/>
  <c r="K272" i="17" s="1"/>
  <c r="K273" i="17" s="1"/>
  <c r="K274" i="17" s="1"/>
  <c r="K275" i="17" s="1"/>
  <c r="K276" i="17" s="1"/>
  <c r="K277" i="17" s="1"/>
  <c r="K278" i="17" s="1"/>
  <c r="K279" i="17" s="1"/>
  <c r="K280" i="17" s="1"/>
  <c r="K281" i="17" s="1"/>
  <c r="K282" i="17" s="1"/>
  <c r="K283" i="17" s="1"/>
  <c r="K284" i="17" s="1"/>
  <c r="K285" i="17" s="1"/>
  <c r="K286" i="17" s="1"/>
  <c r="K287" i="17" s="1"/>
  <c r="K288" i="17" s="1"/>
  <c r="K289" i="17" s="1"/>
  <c r="K290" i="17" s="1"/>
  <c r="K291" i="17" s="1"/>
  <c r="K292" i="17" s="1"/>
  <c r="K293" i="17" s="1"/>
  <c r="K294" i="17" s="1"/>
  <c r="K295" i="17" s="1"/>
  <c r="K296" i="17" s="1"/>
  <c r="K297" i="17" s="1"/>
  <c r="K298" i="17" s="1"/>
  <c r="K299" i="17" s="1"/>
  <c r="K300" i="17" s="1"/>
  <c r="K301" i="17" s="1"/>
  <c r="K302" i="17" s="1"/>
  <c r="K303" i="17" s="1"/>
  <c r="K304" i="17" s="1"/>
  <c r="K305" i="17" s="1"/>
  <c r="K306" i="17" s="1"/>
  <c r="K307" i="17" s="1"/>
  <c r="K308" i="17" s="1"/>
  <c r="K309" i="17" s="1"/>
  <c r="K310" i="17" s="1"/>
  <c r="K311" i="17" s="1"/>
  <c r="K312" i="17" s="1"/>
  <c r="K313" i="17" s="1"/>
  <c r="K314" i="17" s="1"/>
  <c r="K315" i="17" s="1"/>
  <c r="K316" i="17" s="1"/>
  <c r="K317" i="17" s="1"/>
  <c r="K318" i="17" s="1"/>
  <c r="K319" i="17" s="1"/>
  <c r="K320" i="17" s="1"/>
  <c r="K321" i="17" s="1"/>
  <c r="K322" i="17" s="1"/>
  <c r="K323" i="17" s="1"/>
  <c r="K324" i="17" s="1"/>
  <c r="K325" i="17"/>
  <c r="K326" i="17" s="1"/>
  <c r="K327" i="17" s="1"/>
  <c r="K328" i="17" s="1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D240" i="17"/>
  <c r="D241" i="17" s="1"/>
  <c r="D242" i="17" s="1"/>
  <c r="D243" i="17" s="1"/>
  <c r="D244" i="17" s="1"/>
  <c r="D245" i="17" s="1"/>
  <c r="D246" i="17" s="1"/>
  <c r="D247" i="17" s="1"/>
  <c r="D248" i="17" s="1"/>
  <c r="D249" i="17" s="1"/>
  <c r="D250" i="17" s="1"/>
  <c r="D251" i="17" s="1"/>
  <c r="D252" i="17" s="1"/>
  <c r="D253" i="17" s="1"/>
  <c r="D254" i="17" s="1"/>
  <c r="D255" i="17" s="1"/>
  <c r="D256" i="17" s="1"/>
  <c r="D257" i="17" s="1"/>
  <c r="D258" i="17" s="1"/>
  <c r="D259" i="17" s="1"/>
  <c r="D260" i="17" s="1"/>
  <c r="D261" i="17" s="1"/>
  <c r="D262" i="17" s="1"/>
  <c r="D263" i="17" s="1"/>
  <c r="D264" i="17" s="1"/>
  <c r="D265" i="17" s="1"/>
  <c r="D266" i="17" s="1"/>
  <c r="D267" i="17" s="1"/>
  <c r="D268" i="17" s="1"/>
  <c r="D269" i="17" s="1"/>
  <c r="D270" i="17" s="1"/>
  <c r="D271" i="17" s="1"/>
  <c r="D272" i="17" s="1"/>
  <c r="D273" i="17" s="1"/>
  <c r="D274" i="17" s="1"/>
  <c r="D275" i="17" s="1"/>
  <c r="D276" i="17" s="1"/>
  <c r="D277" i="17" s="1"/>
  <c r="D278" i="17" s="1"/>
  <c r="D279" i="17" s="1"/>
  <c r="D280" i="17" s="1"/>
  <c r="D281" i="17" s="1"/>
  <c r="D282" i="17" s="1"/>
  <c r="D283" i="17" s="1"/>
  <c r="D284" i="17" s="1"/>
  <c r="D285" i="17" s="1"/>
  <c r="D286" i="17" s="1"/>
  <c r="D287" i="17" s="1"/>
  <c r="D288" i="17" s="1"/>
  <c r="D289" i="17" s="1"/>
  <c r="D290" i="17" s="1"/>
  <c r="D291" i="17" s="1"/>
  <c r="D292" i="17" s="1"/>
  <c r="D293" i="17" s="1"/>
  <c r="D294" i="17" s="1"/>
  <c r="D295" i="17" s="1"/>
  <c r="D296" i="17" s="1"/>
  <c r="D297" i="17" s="1"/>
  <c r="D298" i="17" s="1"/>
  <c r="D299" i="17" s="1"/>
  <c r="D300" i="17" s="1"/>
  <c r="D301" i="17" s="1"/>
  <c r="D302" i="17" s="1"/>
  <c r="D303" i="17" s="1"/>
  <c r="D304" i="17" s="1"/>
  <c r="D305" i="17" s="1"/>
  <c r="D306" i="17" s="1"/>
  <c r="D307" i="17" s="1"/>
  <c r="D308" i="17" s="1"/>
  <c r="D309" i="17" s="1"/>
  <c r="D310" i="17" s="1"/>
  <c r="D311" i="17" s="1"/>
  <c r="D312" i="17" s="1"/>
  <c r="D313" i="17" s="1"/>
  <c r="D314" i="17" s="1"/>
  <c r="D315" i="17" s="1"/>
  <c r="D316" i="17" s="1"/>
  <c r="D317" i="17" s="1"/>
  <c r="D318" i="17" s="1"/>
  <c r="D319" i="17" s="1"/>
  <c r="D320" i="17" s="1"/>
  <c r="D321" i="17" s="1"/>
  <c r="D322" i="17" s="1"/>
  <c r="D323" i="17" s="1"/>
  <c r="D324" i="17"/>
  <c r="D325" i="17" s="1"/>
  <c r="D326" i="17" s="1"/>
  <c r="D327" i="17" s="1"/>
  <c r="D328" i="17" s="1"/>
  <c r="V7" i="9" l="1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6" i="9"/>
  <c r="E19" i="9"/>
  <c r="U2" i="1" l="1"/>
  <c r="Q2" i="1"/>
  <c r="Q6" i="1"/>
  <c r="D4" i="18" l="1"/>
  <c r="D5" i="18"/>
  <c r="D6" i="18"/>
  <c r="D3" i="18"/>
  <c r="R28" i="10" l="1"/>
  <c r="U29" i="10" l="1"/>
  <c r="AM26" i="16" l="1"/>
  <c r="J68" i="11" l="1"/>
  <c r="J36" i="11"/>
  <c r="J4" i="11"/>
  <c r="J68" i="12"/>
  <c r="J36" i="12"/>
  <c r="J4" i="12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77" i="13"/>
  <c r="F93" i="13"/>
  <c r="M93" i="13" s="1"/>
  <c r="F92" i="13"/>
  <c r="M92" i="13" s="1"/>
  <c r="F91" i="13"/>
  <c r="M91" i="13" s="1"/>
  <c r="F90" i="13"/>
  <c r="M90" i="13" s="1"/>
  <c r="F89" i="13"/>
  <c r="M89" i="13" s="1"/>
  <c r="F88" i="13"/>
  <c r="M88" i="13" s="1"/>
  <c r="F87" i="13"/>
  <c r="M87" i="13" s="1"/>
  <c r="F86" i="13"/>
  <c r="F85" i="13"/>
  <c r="F84" i="13"/>
  <c r="F83" i="13"/>
  <c r="F82" i="13"/>
  <c r="F81" i="13"/>
  <c r="F80" i="13"/>
  <c r="F79" i="13"/>
  <c r="F78" i="13"/>
  <c r="C94" i="13"/>
  <c r="J68" i="13"/>
  <c r="J36" i="13"/>
  <c r="J4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45" i="13"/>
  <c r="F61" i="13"/>
  <c r="M61" i="13" s="1"/>
  <c r="F60" i="13"/>
  <c r="M60" i="13" s="1"/>
  <c r="F59" i="13"/>
  <c r="M59" i="13" s="1"/>
  <c r="F58" i="13"/>
  <c r="M58" i="13" s="1"/>
  <c r="F57" i="13"/>
  <c r="M57" i="13" s="1"/>
  <c r="F56" i="13"/>
  <c r="M56" i="13" s="1"/>
  <c r="F55" i="13"/>
  <c r="M55" i="13" s="1"/>
  <c r="F54" i="13"/>
  <c r="F53" i="13"/>
  <c r="F52" i="13"/>
  <c r="F51" i="13"/>
  <c r="F50" i="13"/>
  <c r="F49" i="13"/>
  <c r="F48" i="13"/>
  <c r="F47" i="13"/>
  <c r="F46" i="13"/>
  <c r="C62" i="13"/>
  <c r="D76" i="11"/>
  <c r="I69" i="11" s="1"/>
  <c r="C78" i="11"/>
  <c r="F78" i="11" s="1"/>
  <c r="C79" i="11"/>
  <c r="F79" i="11" s="1"/>
  <c r="C80" i="11"/>
  <c r="C81" i="11"/>
  <c r="F81" i="11" s="1"/>
  <c r="C82" i="11"/>
  <c r="F82" i="11" s="1"/>
  <c r="C83" i="11"/>
  <c r="F83" i="11" s="1"/>
  <c r="C84" i="11"/>
  <c r="C85" i="11"/>
  <c r="F85" i="11" s="1"/>
  <c r="C86" i="11"/>
  <c r="F86" i="11" s="1"/>
  <c r="C87" i="11"/>
  <c r="F87" i="11" s="1"/>
  <c r="M87" i="11" s="1"/>
  <c r="C88" i="11"/>
  <c r="C89" i="11"/>
  <c r="F89" i="11" s="1"/>
  <c r="M89" i="11" s="1"/>
  <c r="C90" i="11"/>
  <c r="F90" i="11" s="1"/>
  <c r="M90" i="11" s="1"/>
  <c r="C91" i="11"/>
  <c r="F91" i="11" s="1"/>
  <c r="M91" i="11" s="1"/>
  <c r="C92" i="11"/>
  <c r="C93" i="11"/>
  <c r="F93" i="11" s="1"/>
  <c r="M93" i="11" s="1"/>
  <c r="F92" i="11"/>
  <c r="M92" i="11" s="1"/>
  <c r="F88" i="11"/>
  <c r="M88" i="11" s="1"/>
  <c r="F84" i="11"/>
  <c r="F80" i="11"/>
  <c r="K67" i="11"/>
  <c r="D44" i="11"/>
  <c r="C46" i="11"/>
  <c r="F46" i="11" s="1"/>
  <c r="C47" i="11"/>
  <c r="C48" i="11"/>
  <c r="F48" i="11" s="1"/>
  <c r="C49" i="11"/>
  <c r="C50" i="11"/>
  <c r="F50" i="11" s="1"/>
  <c r="C51" i="11"/>
  <c r="C52" i="11"/>
  <c r="F52" i="11" s="1"/>
  <c r="C53" i="11"/>
  <c r="C54" i="11"/>
  <c r="F54" i="11" s="1"/>
  <c r="C55" i="11"/>
  <c r="C56" i="11"/>
  <c r="F56" i="11" s="1"/>
  <c r="M56" i="11" s="1"/>
  <c r="C57" i="11"/>
  <c r="C58" i="11"/>
  <c r="F58" i="11" s="1"/>
  <c r="M58" i="11" s="1"/>
  <c r="C59" i="11"/>
  <c r="C60" i="11"/>
  <c r="F60" i="11" s="1"/>
  <c r="M60" i="11" s="1"/>
  <c r="C61" i="11"/>
  <c r="F61" i="11"/>
  <c r="M61" i="11" s="1"/>
  <c r="F59" i="11"/>
  <c r="M59" i="11" s="1"/>
  <c r="F57" i="11"/>
  <c r="M57" i="11" s="1"/>
  <c r="F55" i="11"/>
  <c r="M55" i="11" s="1"/>
  <c r="F53" i="11"/>
  <c r="F51" i="11"/>
  <c r="F49" i="11"/>
  <c r="F47" i="11"/>
  <c r="E44" i="11"/>
  <c r="I37" i="11"/>
  <c r="F41" i="11" s="1"/>
  <c r="AJ28" i="10"/>
  <c r="AJ29" i="10"/>
  <c r="AJ30" i="10"/>
  <c r="AJ31" i="10"/>
  <c r="AJ32" i="10"/>
  <c r="AJ33" i="10"/>
  <c r="AJ34" i="10"/>
  <c r="AJ35" i="10"/>
  <c r="AJ36" i="10"/>
  <c r="AJ37" i="10"/>
  <c r="AJ38" i="10"/>
  <c r="AJ39" i="10"/>
  <c r="AJ40" i="10"/>
  <c r="AJ41" i="10"/>
  <c r="AJ42" i="10"/>
  <c r="AJ43" i="10"/>
  <c r="AJ27" i="10"/>
  <c r="AI28" i="10"/>
  <c r="AI29" i="10"/>
  <c r="AI30" i="10"/>
  <c r="AI31" i="10"/>
  <c r="AI32" i="10"/>
  <c r="AI33" i="10"/>
  <c r="AI34" i="10"/>
  <c r="AI35" i="10"/>
  <c r="AI36" i="10"/>
  <c r="AI37" i="10"/>
  <c r="AI38" i="10"/>
  <c r="AI39" i="10"/>
  <c r="AI40" i="10"/>
  <c r="AI41" i="10"/>
  <c r="AI42" i="10"/>
  <c r="AI43" i="10"/>
  <c r="AI27" i="10"/>
  <c r="AD28" i="10"/>
  <c r="AD29" i="10"/>
  <c r="AD30" i="10"/>
  <c r="AD31" i="10"/>
  <c r="AD32" i="10"/>
  <c r="AD33" i="10"/>
  <c r="AD34" i="10"/>
  <c r="AD35" i="10"/>
  <c r="AD36" i="10"/>
  <c r="AD37" i="10"/>
  <c r="AD38" i="10"/>
  <c r="AD39" i="10"/>
  <c r="AD40" i="10"/>
  <c r="AD41" i="10"/>
  <c r="AD42" i="10"/>
  <c r="AD43" i="10"/>
  <c r="AD27" i="10"/>
  <c r="AA37" i="10"/>
  <c r="AC37" i="10" s="1"/>
  <c r="AH37" i="10" s="1"/>
  <c r="AA38" i="10"/>
  <c r="AC38" i="10" s="1"/>
  <c r="AH38" i="10" s="1"/>
  <c r="AA39" i="10"/>
  <c r="AC39" i="10" s="1"/>
  <c r="AH39" i="10" s="1"/>
  <c r="AA40" i="10"/>
  <c r="AC40" i="10" s="1"/>
  <c r="AH40" i="10" s="1"/>
  <c r="AA41" i="10"/>
  <c r="AC41" i="10" s="1"/>
  <c r="AH41" i="10" s="1"/>
  <c r="AA42" i="10"/>
  <c r="AC42" i="10" s="1"/>
  <c r="AH42" i="10" s="1"/>
  <c r="AA43" i="10"/>
  <c r="AC43" i="10" s="1"/>
  <c r="AH43" i="10" s="1"/>
  <c r="Z37" i="10"/>
  <c r="Z38" i="10"/>
  <c r="AB38" i="10" s="1"/>
  <c r="Z39" i="10"/>
  <c r="Z40" i="10"/>
  <c r="AB40" i="10" s="1"/>
  <c r="Z41" i="10"/>
  <c r="Z42" i="10"/>
  <c r="AB42" i="10" s="1"/>
  <c r="Z43" i="10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13" i="13"/>
  <c r="C30" i="13" s="1"/>
  <c r="P6" i="13" s="1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27" i="10"/>
  <c r="AD27" i="16"/>
  <c r="AB38" i="9"/>
  <c r="AB39" i="9"/>
  <c r="AB40" i="9"/>
  <c r="AB41" i="9"/>
  <c r="AB42" i="9"/>
  <c r="AB43" i="9"/>
  <c r="AB44" i="9"/>
  <c r="AA38" i="9"/>
  <c r="AA39" i="9"/>
  <c r="AA40" i="9"/>
  <c r="AA41" i="9"/>
  <c r="AA42" i="9"/>
  <c r="AA43" i="9"/>
  <c r="AA44" i="9"/>
  <c r="AB43" i="10" l="1"/>
  <c r="AB41" i="10"/>
  <c r="AB39" i="10"/>
  <c r="AB37" i="10"/>
  <c r="AK37" i="10" s="1"/>
  <c r="E76" i="11"/>
  <c r="F77" i="13"/>
  <c r="F45" i="13"/>
  <c r="AK43" i="10"/>
  <c r="AK41" i="10"/>
  <c r="AK42" i="10"/>
  <c r="AK40" i="10"/>
  <c r="AK38" i="10"/>
  <c r="AK39" i="10"/>
  <c r="F73" i="11"/>
  <c r="F72" i="11"/>
  <c r="J76" i="11"/>
  <c r="F74" i="11"/>
  <c r="K76" i="11"/>
  <c r="F76" i="11"/>
  <c r="F44" i="11"/>
  <c r="K35" i="11"/>
  <c r="F40" i="11"/>
  <c r="F42" i="11"/>
  <c r="J44" i="11"/>
  <c r="G45" i="11" s="1"/>
  <c r="T33" i="16"/>
  <c r="T32" i="16"/>
  <c r="T31" i="16"/>
  <c r="T29" i="16"/>
  <c r="M239" i="17"/>
  <c r="F239" i="17"/>
  <c r="M238" i="17"/>
  <c r="F238" i="17"/>
  <c r="M237" i="17"/>
  <c r="F237" i="17"/>
  <c r="M236" i="17"/>
  <c r="F236" i="17"/>
  <c r="M235" i="17"/>
  <c r="F235" i="17"/>
  <c r="M234" i="17"/>
  <c r="F234" i="17"/>
  <c r="M233" i="17"/>
  <c r="F233" i="17"/>
  <c r="M232" i="17"/>
  <c r="F232" i="17"/>
  <c r="M231" i="17"/>
  <c r="F231" i="17"/>
  <c r="M230" i="17"/>
  <c r="F230" i="17"/>
  <c r="M229" i="17"/>
  <c r="F229" i="17"/>
  <c r="M228" i="17"/>
  <c r="F228" i="17"/>
  <c r="M227" i="17"/>
  <c r="F227" i="17"/>
  <c r="M226" i="17"/>
  <c r="F226" i="17"/>
  <c r="M225" i="17"/>
  <c r="F225" i="17"/>
  <c r="M224" i="17"/>
  <c r="F224" i="17"/>
  <c r="M223" i="17"/>
  <c r="F223" i="17"/>
  <c r="M222" i="17"/>
  <c r="F222" i="17"/>
  <c r="M221" i="17"/>
  <c r="F221" i="17"/>
  <c r="M220" i="17"/>
  <c r="F220" i="17"/>
  <c r="M219" i="17"/>
  <c r="F219" i="17"/>
  <c r="M218" i="17"/>
  <c r="F218" i="17"/>
  <c r="M217" i="17"/>
  <c r="F217" i="17"/>
  <c r="M216" i="17"/>
  <c r="F216" i="17"/>
  <c r="M215" i="17"/>
  <c r="F215" i="17"/>
  <c r="M214" i="17"/>
  <c r="F214" i="17"/>
  <c r="M213" i="17"/>
  <c r="F213" i="17"/>
  <c r="M212" i="17"/>
  <c r="F212" i="17"/>
  <c r="M211" i="17"/>
  <c r="F211" i="17"/>
  <c r="M210" i="17"/>
  <c r="F210" i="17"/>
  <c r="M209" i="17"/>
  <c r="F209" i="17"/>
  <c r="T208" i="17"/>
  <c r="S208" i="17"/>
  <c r="M208" i="17"/>
  <c r="F208" i="17"/>
  <c r="T207" i="17"/>
  <c r="S207" i="17"/>
  <c r="M207" i="17"/>
  <c r="F207" i="17"/>
  <c r="T206" i="17"/>
  <c r="S206" i="17"/>
  <c r="M206" i="17"/>
  <c r="F206" i="17"/>
  <c r="T205" i="17"/>
  <c r="S205" i="17"/>
  <c r="M205" i="17"/>
  <c r="F205" i="17"/>
  <c r="T204" i="17"/>
  <c r="S204" i="17"/>
  <c r="M204" i="17"/>
  <c r="F204" i="17"/>
  <c r="T203" i="17"/>
  <c r="S203" i="17"/>
  <c r="M203" i="17"/>
  <c r="F203" i="17"/>
  <c r="T202" i="17"/>
  <c r="S202" i="17"/>
  <c r="M202" i="17"/>
  <c r="F202" i="17"/>
  <c r="T201" i="17"/>
  <c r="S201" i="17"/>
  <c r="M201" i="17"/>
  <c r="F201" i="17"/>
  <c r="T200" i="17"/>
  <c r="S200" i="17"/>
  <c r="M200" i="17"/>
  <c r="F200" i="17"/>
  <c r="T199" i="17"/>
  <c r="S199" i="17"/>
  <c r="M199" i="17"/>
  <c r="F199" i="17"/>
  <c r="T198" i="17"/>
  <c r="S198" i="17"/>
  <c r="M198" i="17"/>
  <c r="F198" i="17"/>
  <c r="T197" i="17"/>
  <c r="S197" i="17"/>
  <c r="R197" i="17"/>
  <c r="R198" i="17" s="1"/>
  <c r="R199" i="17" s="1"/>
  <c r="R200" i="17" s="1"/>
  <c r="R201" i="17" s="1"/>
  <c r="R202" i="17" s="1"/>
  <c r="R203" i="17" s="1"/>
  <c r="R204" i="17" s="1"/>
  <c r="R205" i="17" s="1"/>
  <c r="R206" i="17" s="1"/>
  <c r="R207" i="17" s="1"/>
  <c r="R208" i="17" s="1"/>
  <c r="M197" i="17"/>
  <c r="F197" i="17"/>
  <c r="T196" i="17"/>
  <c r="S196" i="17"/>
  <c r="M196" i="17"/>
  <c r="F196" i="17"/>
  <c r="T195" i="17"/>
  <c r="S195" i="17"/>
  <c r="M195" i="17"/>
  <c r="F195" i="17"/>
  <c r="T194" i="17"/>
  <c r="S194" i="17"/>
  <c r="M194" i="17"/>
  <c r="F194" i="17"/>
  <c r="T193" i="17"/>
  <c r="S193" i="17"/>
  <c r="M193" i="17"/>
  <c r="F193" i="17"/>
  <c r="T192" i="17"/>
  <c r="S192" i="17"/>
  <c r="M192" i="17"/>
  <c r="F192" i="17"/>
  <c r="T191" i="17"/>
  <c r="S191" i="17"/>
  <c r="M191" i="17"/>
  <c r="F191" i="17"/>
  <c r="T190" i="17"/>
  <c r="S190" i="17"/>
  <c r="M190" i="17"/>
  <c r="F190" i="17"/>
  <c r="T189" i="17"/>
  <c r="S189" i="17"/>
  <c r="M189" i="17"/>
  <c r="F189" i="17"/>
  <c r="T188" i="17"/>
  <c r="S188" i="17"/>
  <c r="M188" i="17"/>
  <c r="F188" i="17"/>
  <c r="T187" i="17"/>
  <c r="S187" i="17"/>
  <c r="M187" i="17"/>
  <c r="F187" i="17"/>
  <c r="T186" i="17"/>
  <c r="S186" i="17"/>
  <c r="M186" i="17"/>
  <c r="F186" i="17"/>
  <c r="T185" i="17"/>
  <c r="S185" i="17"/>
  <c r="R185" i="17"/>
  <c r="R186" i="17" s="1"/>
  <c r="R187" i="17" s="1"/>
  <c r="R188" i="17" s="1"/>
  <c r="R189" i="17" s="1"/>
  <c r="R190" i="17" s="1"/>
  <c r="R191" i="17" s="1"/>
  <c r="R192" i="17" s="1"/>
  <c r="R193" i="17" s="1"/>
  <c r="R194" i="17" s="1"/>
  <c r="R195" i="17" s="1"/>
  <c r="R196" i="17" s="1"/>
  <c r="M185" i="17"/>
  <c r="F185" i="17"/>
  <c r="T184" i="17"/>
  <c r="S184" i="17"/>
  <c r="M184" i="17"/>
  <c r="F184" i="17"/>
  <c r="T183" i="17"/>
  <c r="S183" i="17"/>
  <c r="M183" i="17"/>
  <c r="F183" i="17"/>
  <c r="T182" i="17"/>
  <c r="S182" i="17"/>
  <c r="M182" i="17"/>
  <c r="F182" i="17"/>
  <c r="T181" i="17"/>
  <c r="S181" i="17"/>
  <c r="M181" i="17"/>
  <c r="F181" i="17"/>
  <c r="T180" i="17"/>
  <c r="S180" i="17"/>
  <c r="M180" i="17"/>
  <c r="F180" i="17"/>
  <c r="T179" i="17"/>
  <c r="S179" i="17"/>
  <c r="M179" i="17"/>
  <c r="F179" i="17"/>
  <c r="T178" i="17"/>
  <c r="S178" i="17"/>
  <c r="M178" i="17"/>
  <c r="F178" i="17"/>
  <c r="T177" i="17"/>
  <c r="S177" i="17"/>
  <c r="M177" i="17"/>
  <c r="F177" i="17"/>
  <c r="T176" i="17"/>
  <c r="S176" i="17"/>
  <c r="M176" i="17"/>
  <c r="F176" i="17"/>
  <c r="T175" i="17"/>
  <c r="S175" i="17"/>
  <c r="M175" i="17"/>
  <c r="F175" i="17"/>
  <c r="T174" i="17"/>
  <c r="S174" i="17"/>
  <c r="M174" i="17"/>
  <c r="F174" i="17"/>
  <c r="T173" i="17"/>
  <c r="S173" i="17"/>
  <c r="R173" i="17"/>
  <c r="R174" i="17" s="1"/>
  <c r="R175" i="17" s="1"/>
  <c r="R176" i="17" s="1"/>
  <c r="R177" i="17" s="1"/>
  <c r="R178" i="17" s="1"/>
  <c r="R179" i="17" s="1"/>
  <c r="R180" i="17" s="1"/>
  <c r="R181" i="17" s="1"/>
  <c r="R182" i="17" s="1"/>
  <c r="R183" i="17" s="1"/>
  <c r="R184" i="17" s="1"/>
  <c r="M173" i="17"/>
  <c r="F173" i="17"/>
  <c r="T172" i="17"/>
  <c r="S172" i="17"/>
  <c r="M172" i="17"/>
  <c r="F172" i="17"/>
  <c r="T171" i="17"/>
  <c r="S171" i="17"/>
  <c r="M171" i="17"/>
  <c r="F171" i="17"/>
  <c r="T170" i="17"/>
  <c r="S170" i="17"/>
  <c r="M170" i="17"/>
  <c r="F170" i="17"/>
  <c r="T169" i="17"/>
  <c r="S169" i="17"/>
  <c r="M169" i="17"/>
  <c r="F169" i="17"/>
  <c r="T168" i="17"/>
  <c r="S168" i="17"/>
  <c r="M168" i="17"/>
  <c r="F168" i="17"/>
  <c r="T167" i="17"/>
  <c r="S167" i="17"/>
  <c r="M167" i="17"/>
  <c r="F167" i="17"/>
  <c r="T166" i="17"/>
  <c r="S166" i="17"/>
  <c r="M166" i="17"/>
  <c r="F166" i="17"/>
  <c r="T165" i="17"/>
  <c r="S165" i="17"/>
  <c r="M165" i="17"/>
  <c r="F165" i="17"/>
  <c r="T164" i="17"/>
  <c r="S164" i="17"/>
  <c r="M164" i="17"/>
  <c r="F164" i="17"/>
  <c r="T163" i="17"/>
  <c r="S163" i="17"/>
  <c r="M163" i="17"/>
  <c r="F163" i="17"/>
  <c r="T162" i="17"/>
  <c r="S162" i="17"/>
  <c r="M162" i="17"/>
  <c r="F162" i="17"/>
  <c r="T161" i="17"/>
  <c r="S161" i="17"/>
  <c r="R161" i="17"/>
  <c r="R162" i="17" s="1"/>
  <c r="R163" i="17" s="1"/>
  <c r="R164" i="17" s="1"/>
  <c r="R165" i="17" s="1"/>
  <c r="R166" i="17" s="1"/>
  <c r="R167" i="17" s="1"/>
  <c r="R168" i="17" s="1"/>
  <c r="R169" i="17" s="1"/>
  <c r="R170" i="17" s="1"/>
  <c r="R171" i="17" s="1"/>
  <c r="R172" i="17" s="1"/>
  <c r="M161" i="17"/>
  <c r="F161" i="17"/>
  <c r="T160" i="17"/>
  <c r="S160" i="17"/>
  <c r="M160" i="17"/>
  <c r="F160" i="17"/>
  <c r="T159" i="17"/>
  <c r="S159" i="17"/>
  <c r="M159" i="17"/>
  <c r="F159" i="17"/>
  <c r="T158" i="17"/>
  <c r="S158" i="17"/>
  <c r="M158" i="17"/>
  <c r="F158" i="17"/>
  <c r="T157" i="17"/>
  <c r="S157" i="17"/>
  <c r="M157" i="17"/>
  <c r="F157" i="17"/>
  <c r="T156" i="17"/>
  <c r="S156" i="17"/>
  <c r="M156" i="17"/>
  <c r="F156" i="17"/>
  <c r="T155" i="17"/>
  <c r="S155" i="17"/>
  <c r="M155" i="17"/>
  <c r="F155" i="17"/>
  <c r="T154" i="17"/>
  <c r="S154" i="17"/>
  <c r="M154" i="17"/>
  <c r="F154" i="17"/>
  <c r="T153" i="17"/>
  <c r="S153" i="17"/>
  <c r="M153" i="17"/>
  <c r="F153" i="17"/>
  <c r="T152" i="17"/>
  <c r="S152" i="17"/>
  <c r="M152" i="17"/>
  <c r="F152" i="17"/>
  <c r="T151" i="17"/>
  <c r="S151" i="17"/>
  <c r="M151" i="17"/>
  <c r="F151" i="17"/>
  <c r="T150" i="17"/>
  <c r="S150" i="17"/>
  <c r="M150" i="17"/>
  <c r="F150" i="17"/>
  <c r="T149" i="17"/>
  <c r="S149" i="17"/>
  <c r="R149" i="17"/>
  <c r="R150" i="17" s="1"/>
  <c r="R151" i="17" s="1"/>
  <c r="R152" i="17" s="1"/>
  <c r="R153" i="17" s="1"/>
  <c r="R154" i="17" s="1"/>
  <c r="R155" i="17" s="1"/>
  <c r="R156" i="17" s="1"/>
  <c r="R157" i="17" s="1"/>
  <c r="M149" i="17"/>
  <c r="F149" i="17"/>
  <c r="T148" i="17"/>
  <c r="S148" i="17"/>
  <c r="M148" i="17"/>
  <c r="F148" i="17"/>
  <c r="T147" i="17"/>
  <c r="S147" i="17"/>
  <c r="M147" i="17"/>
  <c r="F147" i="17"/>
  <c r="T146" i="17"/>
  <c r="S146" i="17"/>
  <c r="M146" i="17"/>
  <c r="F146" i="17"/>
  <c r="T145" i="17"/>
  <c r="S145" i="17"/>
  <c r="M145" i="17"/>
  <c r="F145" i="17"/>
  <c r="T144" i="17"/>
  <c r="S144" i="17"/>
  <c r="M144" i="17"/>
  <c r="F144" i="17"/>
  <c r="T143" i="17"/>
  <c r="S143" i="17"/>
  <c r="M143" i="17"/>
  <c r="F143" i="17"/>
  <c r="T142" i="17"/>
  <c r="S142" i="17"/>
  <c r="M142" i="17"/>
  <c r="F142" i="17"/>
  <c r="T141" i="17"/>
  <c r="S141" i="17"/>
  <c r="M141" i="17"/>
  <c r="F141" i="17"/>
  <c r="T140" i="17"/>
  <c r="S140" i="17"/>
  <c r="M140" i="17"/>
  <c r="F140" i="17"/>
  <c r="T139" i="17"/>
  <c r="S139" i="17"/>
  <c r="M139" i="17"/>
  <c r="F139" i="17"/>
  <c r="T138" i="17"/>
  <c r="S138" i="17"/>
  <c r="M138" i="17"/>
  <c r="F138" i="17"/>
  <c r="T137" i="17"/>
  <c r="S137" i="17"/>
  <c r="R137" i="17"/>
  <c r="R138" i="17" s="1"/>
  <c r="R139" i="17" s="1"/>
  <c r="R140" i="17" s="1"/>
  <c r="R141" i="17" s="1"/>
  <c r="R142" i="17" s="1"/>
  <c r="R143" i="17" s="1"/>
  <c r="R144" i="17" s="1"/>
  <c r="R145" i="17" s="1"/>
  <c r="R146" i="17" s="1"/>
  <c r="R147" i="17" s="1"/>
  <c r="R148" i="17" s="1"/>
  <c r="M137" i="17"/>
  <c r="F137" i="17"/>
  <c r="T136" i="17"/>
  <c r="S136" i="17"/>
  <c r="M136" i="17"/>
  <c r="F136" i="17"/>
  <c r="T135" i="17"/>
  <c r="S135" i="17"/>
  <c r="M135" i="17"/>
  <c r="F135" i="17"/>
  <c r="T134" i="17"/>
  <c r="S134" i="17"/>
  <c r="M134" i="17"/>
  <c r="F134" i="17"/>
  <c r="T133" i="17"/>
  <c r="S133" i="17"/>
  <c r="M133" i="17"/>
  <c r="F133" i="17"/>
  <c r="T132" i="17"/>
  <c r="S132" i="17"/>
  <c r="M132" i="17"/>
  <c r="F132" i="17"/>
  <c r="T131" i="17"/>
  <c r="S131" i="17"/>
  <c r="M131" i="17"/>
  <c r="F131" i="17"/>
  <c r="T130" i="17"/>
  <c r="S130" i="17"/>
  <c r="M130" i="17"/>
  <c r="F130" i="17"/>
  <c r="T129" i="17"/>
  <c r="S129" i="17"/>
  <c r="M129" i="17"/>
  <c r="F129" i="17"/>
  <c r="T128" i="17"/>
  <c r="S128" i="17"/>
  <c r="M128" i="17"/>
  <c r="F128" i="17"/>
  <c r="T127" i="17"/>
  <c r="S127" i="17"/>
  <c r="M127" i="17"/>
  <c r="F127" i="17"/>
  <c r="T126" i="17"/>
  <c r="S126" i="17"/>
  <c r="M126" i="17"/>
  <c r="F126" i="17"/>
  <c r="T125" i="17"/>
  <c r="S125" i="17"/>
  <c r="R125" i="17"/>
  <c r="R126" i="17" s="1"/>
  <c r="R127" i="17" s="1"/>
  <c r="R128" i="17" s="1"/>
  <c r="R129" i="17" s="1"/>
  <c r="R130" i="17" s="1"/>
  <c r="R131" i="17" s="1"/>
  <c r="R132" i="17" s="1"/>
  <c r="R133" i="17" s="1"/>
  <c r="R134" i="17" s="1"/>
  <c r="R135" i="17" s="1"/>
  <c r="R136" i="17" s="1"/>
  <c r="M125" i="17"/>
  <c r="F125" i="17"/>
  <c r="M124" i="17"/>
  <c r="F124" i="17"/>
  <c r="M123" i="17"/>
  <c r="F123" i="17"/>
  <c r="M122" i="17"/>
  <c r="F122" i="17"/>
  <c r="M121" i="17"/>
  <c r="F121" i="17"/>
  <c r="M120" i="17"/>
  <c r="F120" i="17"/>
  <c r="L119" i="17"/>
  <c r="E119" i="17"/>
  <c r="L118" i="17"/>
  <c r="E118" i="17"/>
  <c r="L117" i="17"/>
  <c r="E117" i="17"/>
  <c r="L116" i="17"/>
  <c r="E116" i="17"/>
  <c r="L115" i="17"/>
  <c r="E115" i="17"/>
  <c r="L114" i="17"/>
  <c r="E114" i="17"/>
  <c r="R113" i="17"/>
  <c r="R114" i="17" s="1"/>
  <c r="R115" i="17" s="1"/>
  <c r="R116" i="17" s="1"/>
  <c r="R117" i="17" s="1"/>
  <c r="R118" i="17" s="1"/>
  <c r="R119" i="17" s="1"/>
  <c r="R120" i="17" s="1"/>
  <c r="R121" i="17" s="1"/>
  <c r="R122" i="17" s="1"/>
  <c r="R123" i="17" s="1"/>
  <c r="R124" i="17" s="1"/>
  <c r="L113" i="17"/>
  <c r="E113" i="17"/>
  <c r="L112" i="17"/>
  <c r="E112" i="17"/>
  <c r="L111" i="17"/>
  <c r="E111" i="17"/>
  <c r="L110" i="17"/>
  <c r="E110" i="17"/>
  <c r="L109" i="17"/>
  <c r="E109" i="17"/>
  <c r="L108" i="17"/>
  <c r="E108" i="17"/>
  <c r="L107" i="17"/>
  <c r="E107" i="17"/>
  <c r="L106" i="17"/>
  <c r="E106" i="17"/>
  <c r="L105" i="17"/>
  <c r="E105" i="17"/>
  <c r="L104" i="17"/>
  <c r="E104" i="17"/>
  <c r="L103" i="17"/>
  <c r="E103" i="17"/>
  <c r="L102" i="17"/>
  <c r="E102" i="17"/>
  <c r="R101" i="17"/>
  <c r="R102" i="17" s="1"/>
  <c r="R103" i="17" s="1"/>
  <c r="R104" i="17" s="1"/>
  <c r="R105" i="17" s="1"/>
  <c r="R106" i="17" s="1"/>
  <c r="R107" i="17" s="1"/>
  <c r="R108" i="17" s="1"/>
  <c r="R109" i="17" s="1"/>
  <c r="R110" i="17" s="1"/>
  <c r="R111" i="17" s="1"/>
  <c r="R112" i="17" s="1"/>
  <c r="L101" i="17"/>
  <c r="E101" i="17"/>
  <c r="L100" i="17"/>
  <c r="E100" i="17"/>
  <c r="L99" i="17"/>
  <c r="E99" i="17"/>
  <c r="L98" i="17"/>
  <c r="E98" i="17"/>
  <c r="L97" i="17"/>
  <c r="E97" i="17"/>
  <c r="L96" i="17"/>
  <c r="E96" i="17"/>
  <c r="L95" i="17"/>
  <c r="E95" i="17"/>
  <c r="L94" i="17"/>
  <c r="E94" i="17"/>
  <c r="L93" i="17"/>
  <c r="E93" i="17"/>
  <c r="L92" i="17"/>
  <c r="E92" i="17"/>
  <c r="L91" i="17"/>
  <c r="E91" i="17"/>
  <c r="L90" i="17"/>
  <c r="E90" i="17"/>
  <c r="R89" i="17"/>
  <c r="R90" i="17" s="1"/>
  <c r="R91" i="17" s="1"/>
  <c r="R92" i="17" s="1"/>
  <c r="R93" i="17" s="1"/>
  <c r="R94" i="17" s="1"/>
  <c r="R95" i="17" s="1"/>
  <c r="R96" i="17" s="1"/>
  <c r="R97" i="17" s="1"/>
  <c r="R98" i="17" s="1"/>
  <c r="R99" i="17" s="1"/>
  <c r="R100" i="17" s="1"/>
  <c r="L89" i="17"/>
  <c r="E89" i="17"/>
  <c r="L88" i="17"/>
  <c r="E88" i="17"/>
  <c r="L87" i="17"/>
  <c r="E87" i="17"/>
  <c r="L86" i="17"/>
  <c r="E86" i="17"/>
  <c r="L85" i="17"/>
  <c r="E85" i="17"/>
  <c r="L84" i="17"/>
  <c r="E84" i="17"/>
  <c r="L83" i="17"/>
  <c r="E83" i="17"/>
  <c r="L82" i="17"/>
  <c r="E82" i="17"/>
  <c r="L81" i="17"/>
  <c r="E81" i="17"/>
  <c r="L80" i="17"/>
  <c r="E80" i="17"/>
  <c r="L79" i="17"/>
  <c r="E79" i="17"/>
  <c r="L78" i="17"/>
  <c r="E78" i="17"/>
  <c r="R77" i="17"/>
  <c r="R78" i="17" s="1"/>
  <c r="R79" i="17" s="1"/>
  <c r="R80" i="17" s="1"/>
  <c r="R81" i="17" s="1"/>
  <c r="R82" i="17" s="1"/>
  <c r="R83" i="17" s="1"/>
  <c r="R84" i="17" s="1"/>
  <c r="R85" i="17" s="1"/>
  <c r="R86" i="17" s="1"/>
  <c r="R87" i="17" s="1"/>
  <c r="R88" i="17" s="1"/>
  <c r="L77" i="17"/>
  <c r="E77" i="17"/>
  <c r="L76" i="17"/>
  <c r="E76" i="17"/>
  <c r="L75" i="17"/>
  <c r="E75" i="17"/>
  <c r="L74" i="17"/>
  <c r="E74" i="17"/>
  <c r="L73" i="17"/>
  <c r="E73" i="17"/>
  <c r="L72" i="17"/>
  <c r="E72" i="17"/>
  <c r="L71" i="17"/>
  <c r="E71" i="17"/>
  <c r="L70" i="17"/>
  <c r="E70" i="17"/>
  <c r="L69" i="17"/>
  <c r="E69" i="17"/>
  <c r="L68" i="17"/>
  <c r="E68" i="17"/>
  <c r="L67" i="17"/>
  <c r="E67" i="17"/>
  <c r="L66" i="17"/>
  <c r="E66" i="17"/>
  <c r="R65" i="17"/>
  <c r="R66" i="17" s="1"/>
  <c r="R67" i="17" s="1"/>
  <c r="R68" i="17" s="1"/>
  <c r="R69" i="17" s="1"/>
  <c r="R70" i="17" s="1"/>
  <c r="R71" i="17" s="1"/>
  <c r="R72" i="17" s="1"/>
  <c r="R73" i="17" s="1"/>
  <c r="R74" i="17" s="1"/>
  <c r="R75" i="17" s="1"/>
  <c r="R76" i="17" s="1"/>
  <c r="L65" i="17"/>
  <c r="E65" i="17"/>
  <c r="L64" i="17"/>
  <c r="E64" i="17"/>
  <c r="L63" i="17"/>
  <c r="E63" i="17"/>
  <c r="L62" i="17"/>
  <c r="E62" i="17"/>
  <c r="L61" i="17"/>
  <c r="E61" i="17"/>
  <c r="L60" i="17"/>
  <c r="E60" i="17"/>
  <c r="L59" i="17"/>
  <c r="E59" i="17"/>
  <c r="L58" i="17"/>
  <c r="E58" i="17"/>
  <c r="L57" i="17"/>
  <c r="E57" i="17"/>
  <c r="L56" i="17"/>
  <c r="E56" i="17"/>
  <c r="L55" i="17"/>
  <c r="E55" i="17"/>
  <c r="L54" i="17"/>
  <c r="E54" i="17"/>
  <c r="R53" i="17"/>
  <c r="R54" i="17" s="1"/>
  <c r="R55" i="17" s="1"/>
  <c r="R56" i="17" s="1"/>
  <c r="R57" i="17" s="1"/>
  <c r="R58" i="17" s="1"/>
  <c r="R59" i="17" s="1"/>
  <c r="R60" i="17" s="1"/>
  <c r="R61" i="17" s="1"/>
  <c r="R62" i="17" s="1"/>
  <c r="R63" i="17" s="1"/>
  <c r="R64" i="17" s="1"/>
  <c r="L53" i="17"/>
  <c r="E53" i="17"/>
  <c r="L52" i="17"/>
  <c r="E52" i="17"/>
  <c r="L51" i="17"/>
  <c r="E51" i="17"/>
  <c r="L50" i="17"/>
  <c r="E50" i="17"/>
  <c r="L49" i="17"/>
  <c r="E49" i="17"/>
  <c r="L48" i="17"/>
  <c r="E48" i="17"/>
  <c r="L47" i="17"/>
  <c r="E47" i="17"/>
  <c r="L46" i="17"/>
  <c r="E46" i="17"/>
  <c r="L45" i="17"/>
  <c r="E45" i="17"/>
  <c r="L44" i="17"/>
  <c r="E44" i="17"/>
  <c r="L43" i="17"/>
  <c r="E43" i="17"/>
  <c r="L42" i="17"/>
  <c r="E42" i="17"/>
  <c r="R41" i="17"/>
  <c r="R42" i="17" s="1"/>
  <c r="R43" i="17" s="1"/>
  <c r="R44" i="17" s="1"/>
  <c r="R45" i="17" s="1"/>
  <c r="R46" i="17" s="1"/>
  <c r="R47" i="17" s="1"/>
  <c r="R48" i="17" s="1"/>
  <c r="R49" i="17" s="1"/>
  <c r="R50" i="17" s="1"/>
  <c r="R51" i="17" s="1"/>
  <c r="R52" i="17" s="1"/>
  <c r="L41" i="17"/>
  <c r="E41" i="17"/>
  <c r="L40" i="17"/>
  <c r="E40" i="17"/>
  <c r="L39" i="17"/>
  <c r="E39" i="17"/>
  <c r="L38" i="17"/>
  <c r="E38" i="17"/>
  <c r="L37" i="17"/>
  <c r="E37" i="17"/>
  <c r="L36" i="17"/>
  <c r="E36" i="17"/>
  <c r="L35" i="17"/>
  <c r="E35" i="17"/>
  <c r="L34" i="17"/>
  <c r="E34" i="17"/>
  <c r="L33" i="17"/>
  <c r="E33" i="17"/>
  <c r="L32" i="17"/>
  <c r="E32" i="17"/>
  <c r="L31" i="17"/>
  <c r="E31" i="17"/>
  <c r="L30" i="17"/>
  <c r="E30" i="17"/>
  <c r="R29" i="17"/>
  <c r="R30" i="17" s="1"/>
  <c r="R31" i="17" s="1"/>
  <c r="R32" i="17" s="1"/>
  <c r="R33" i="17" s="1"/>
  <c r="R34" i="17" s="1"/>
  <c r="R35" i="17" s="1"/>
  <c r="R36" i="17" s="1"/>
  <c r="R37" i="17" s="1"/>
  <c r="R38" i="17" s="1"/>
  <c r="R39" i="17" s="1"/>
  <c r="R40" i="17" s="1"/>
  <c r="L29" i="17"/>
  <c r="E29" i="17"/>
  <c r="L28" i="17"/>
  <c r="E28" i="17"/>
  <c r="L27" i="17"/>
  <c r="E27" i="17"/>
  <c r="L26" i="17"/>
  <c r="E26" i="17"/>
  <c r="L25" i="17"/>
  <c r="E25" i="17"/>
  <c r="L24" i="17"/>
  <c r="E24" i="17"/>
  <c r="L23" i="17"/>
  <c r="E23" i="17"/>
  <c r="L22" i="17"/>
  <c r="E22" i="17"/>
  <c r="L21" i="17"/>
  <c r="E21" i="17"/>
  <c r="L20" i="17"/>
  <c r="E20" i="17"/>
  <c r="L19" i="17"/>
  <c r="E19" i="17"/>
  <c r="L18" i="17"/>
  <c r="E18" i="17"/>
  <c r="R17" i="17"/>
  <c r="R18" i="17" s="1"/>
  <c r="R19" i="17" s="1"/>
  <c r="R20" i="17" s="1"/>
  <c r="R21" i="17" s="1"/>
  <c r="R22" i="17" s="1"/>
  <c r="R23" i="17" s="1"/>
  <c r="R24" i="17" s="1"/>
  <c r="R25" i="17" s="1"/>
  <c r="R26" i="17" s="1"/>
  <c r="R27" i="17" s="1"/>
  <c r="R28" i="17" s="1"/>
  <c r="L17" i="17"/>
  <c r="E17" i="17"/>
  <c r="L16" i="17"/>
  <c r="E16" i="17"/>
  <c r="L15" i="17"/>
  <c r="E15" i="17"/>
  <c r="L14" i="17"/>
  <c r="E14" i="17"/>
  <c r="L13" i="17"/>
  <c r="E13" i="17"/>
  <c r="L12" i="17"/>
  <c r="E12" i="17"/>
  <c r="L11" i="17"/>
  <c r="E11" i="17"/>
  <c r="L10" i="17"/>
  <c r="E10" i="17"/>
  <c r="L9" i="17"/>
  <c r="E9" i="17"/>
  <c r="E120" i="17" s="1"/>
  <c r="L8" i="17"/>
  <c r="E8" i="17"/>
  <c r="L7" i="17"/>
  <c r="E7" i="17"/>
  <c r="L6" i="17"/>
  <c r="L120" i="17" s="1"/>
  <c r="E6" i="17"/>
  <c r="R5" i="17"/>
  <c r="R6" i="17" s="1"/>
  <c r="R7" i="17" s="1"/>
  <c r="R8" i="17" s="1"/>
  <c r="R9" i="17" s="1"/>
  <c r="R10" i="17" s="1"/>
  <c r="R11" i="17" s="1"/>
  <c r="R12" i="17" s="1"/>
  <c r="R13" i="17" s="1"/>
  <c r="S2" i="17"/>
  <c r="Q2" i="17"/>
  <c r="R1" i="17"/>
  <c r="P1" i="17"/>
  <c r="M76" i="11" l="1"/>
  <c r="L76" i="11"/>
  <c r="I77" i="11"/>
  <c r="I78" i="11" s="1"/>
  <c r="M78" i="11" s="1"/>
  <c r="G77" i="11"/>
  <c r="Q190" i="17"/>
  <c r="K44" i="11"/>
  <c r="I45" i="11"/>
  <c r="Q161" i="17"/>
  <c r="Q162" i="17"/>
  <c r="Q170" i="17"/>
  <c r="Q185" i="17"/>
  <c r="Q186" i="17"/>
  <c r="Q194" i="17"/>
  <c r="Q166" i="17"/>
  <c r="R14" i="17"/>
  <c r="R15" i="17" s="1"/>
  <c r="R16" i="17" s="1"/>
  <c r="D120" i="17"/>
  <c r="D121" i="17" s="1"/>
  <c r="D122" i="17" s="1"/>
  <c r="D123" i="17" s="1"/>
  <c r="R158" i="17"/>
  <c r="R159" i="17" s="1"/>
  <c r="R160" i="17" s="1"/>
  <c r="Q160" i="17" s="1"/>
  <c r="Q157" i="17"/>
  <c r="K120" i="17"/>
  <c r="K121" i="17" s="1"/>
  <c r="K122" i="17" s="1"/>
  <c r="K123" i="17" s="1"/>
  <c r="Q177" i="17"/>
  <c r="Q181" i="17"/>
  <c r="Q201" i="17"/>
  <c r="Q205" i="17"/>
  <c r="Q208" i="17"/>
  <c r="Q206" i="17"/>
  <c r="Q204" i="17"/>
  <c r="Q202" i="17"/>
  <c r="Q200" i="17"/>
  <c r="Q198" i="17"/>
  <c r="Q197" i="17"/>
  <c r="Q195" i="17"/>
  <c r="Q193" i="17"/>
  <c r="Q191" i="17"/>
  <c r="Q189" i="17"/>
  <c r="Q187" i="17"/>
  <c r="Q184" i="17"/>
  <c r="Q182" i="17"/>
  <c r="Q180" i="17"/>
  <c r="Q178" i="17"/>
  <c r="Q176" i="17"/>
  <c r="Q174" i="17"/>
  <c r="Q173" i="17"/>
  <c r="Q171" i="17"/>
  <c r="Q169" i="17"/>
  <c r="Q167" i="17"/>
  <c r="Q165" i="17"/>
  <c r="Q163" i="17"/>
  <c r="Q156" i="17"/>
  <c r="Q154" i="17"/>
  <c r="Q153" i="17"/>
  <c r="Q152" i="17"/>
  <c r="Q151" i="17"/>
  <c r="Q150" i="17"/>
  <c r="Q149" i="17"/>
  <c r="Q148" i="17"/>
  <c r="Q147" i="17"/>
  <c r="Q146" i="17"/>
  <c r="Q145" i="17"/>
  <c r="Q144" i="17"/>
  <c r="Q143" i="17"/>
  <c r="Q142" i="17"/>
  <c r="Q141" i="17"/>
  <c r="Q140" i="17"/>
  <c r="Q139" i="17"/>
  <c r="Q138" i="17"/>
  <c r="Q137" i="17"/>
  <c r="Q136" i="17"/>
  <c r="Q135" i="17"/>
  <c r="Q134" i="17"/>
  <c r="Q133" i="17"/>
  <c r="Q132" i="17"/>
  <c r="Q131" i="17"/>
  <c r="Q130" i="17"/>
  <c r="Q129" i="17"/>
  <c r="Q128" i="17"/>
  <c r="Q127" i="17"/>
  <c r="Q126" i="17"/>
  <c r="Q125" i="17"/>
  <c r="Q155" i="17"/>
  <c r="Q164" i="17"/>
  <c r="Q168" i="17"/>
  <c r="Q172" i="17"/>
  <c r="Q175" i="17"/>
  <c r="Q179" i="17"/>
  <c r="Q183" i="17"/>
  <c r="Q188" i="17"/>
  <c r="Q192" i="17"/>
  <c r="Q196" i="17"/>
  <c r="Q199" i="17"/>
  <c r="Q203" i="17"/>
  <c r="Q207" i="17"/>
  <c r="I79" i="11" l="1"/>
  <c r="H77" i="11"/>
  <c r="J77" i="11" s="1"/>
  <c r="G78" i="11" s="1"/>
  <c r="M44" i="11"/>
  <c r="L44" i="11"/>
  <c r="X15" i="17"/>
  <c r="X16" i="17"/>
  <c r="H78" i="11"/>
  <c r="J78" i="11" s="1"/>
  <c r="G79" i="11" s="1"/>
  <c r="I80" i="11"/>
  <c r="M79" i="11"/>
  <c r="I46" i="11"/>
  <c r="H45" i="11"/>
  <c r="X18" i="17"/>
  <c r="Q159" i="17"/>
  <c r="Q158" i="17"/>
  <c r="X20" i="17"/>
  <c r="X19" i="17"/>
  <c r="X21" i="17"/>
  <c r="D124" i="17"/>
  <c r="D125" i="17" s="1"/>
  <c r="D126" i="17" s="1"/>
  <c r="D127" i="17" s="1"/>
  <c r="D128" i="17" s="1"/>
  <c r="D129" i="17" s="1"/>
  <c r="D130" i="17" s="1"/>
  <c r="D131" i="17" s="1"/>
  <c r="D132" i="17" s="1"/>
  <c r="D133" i="17" s="1"/>
  <c r="D134" i="17" s="1"/>
  <c r="D135" i="17" s="1"/>
  <c r="S16" i="17"/>
  <c r="S14" i="17"/>
  <c r="Q14" i="17" s="1"/>
  <c r="S12" i="17"/>
  <c r="S10" i="17"/>
  <c r="S8" i="17"/>
  <c r="S6" i="17"/>
  <c r="Q6" i="17" s="1"/>
  <c r="S13" i="17"/>
  <c r="S9" i="17"/>
  <c r="S5" i="17"/>
  <c r="S15" i="17"/>
  <c r="S11" i="17"/>
  <c r="Q11" i="17" s="1"/>
  <c r="S7" i="17"/>
  <c r="K124" i="17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T15" i="17"/>
  <c r="T13" i="17"/>
  <c r="T11" i="17"/>
  <c r="T9" i="17"/>
  <c r="T7" i="17"/>
  <c r="T5" i="17"/>
  <c r="T16" i="17"/>
  <c r="T12" i="17"/>
  <c r="T8" i="17"/>
  <c r="T14" i="17"/>
  <c r="T10" i="17"/>
  <c r="T6" i="17"/>
  <c r="X17" i="17" l="1"/>
  <c r="H79" i="11"/>
  <c r="J79" i="11" s="1"/>
  <c r="G80" i="11" s="1"/>
  <c r="I81" i="11"/>
  <c r="M80" i="11"/>
  <c r="J45" i="11"/>
  <c r="G46" i="11" s="1"/>
  <c r="I47" i="11"/>
  <c r="M46" i="11"/>
  <c r="K136" i="17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T21" i="17"/>
  <c r="T19" i="17"/>
  <c r="T17" i="17"/>
  <c r="T28" i="17"/>
  <c r="T27" i="17"/>
  <c r="T26" i="17"/>
  <c r="T25" i="17"/>
  <c r="T24" i="17"/>
  <c r="T23" i="17"/>
  <c r="T22" i="17"/>
  <c r="T18" i="17"/>
  <c r="T20" i="17"/>
  <c r="Q5" i="17"/>
  <c r="Q13" i="17"/>
  <c r="Q10" i="17"/>
  <c r="D136" i="17"/>
  <c r="D137" i="17" s="1"/>
  <c r="D138" i="17" s="1"/>
  <c r="D139" i="17" s="1"/>
  <c r="D140" i="17" s="1"/>
  <c r="D141" i="17" s="1"/>
  <c r="D142" i="17" s="1"/>
  <c r="D143" i="17" s="1"/>
  <c r="D144" i="17" s="1"/>
  <c r="D145" i="17" s="1"/>
  <c r="D146" i="17" s="1"/>
  <c r="D147" i="17" s="1"/>
  <c r="S28" i="17"/>
  <c r="Q28" i="17" s="1"/>
  <c r="S27" i="17"/>
  <c r="S26" i="17"/>
  <c r="Q26" i="17" s="1"/>
  <c r="S25" i="17"/>
  <c r="S24" i="17"/>
  <c r="Q24" i="17" s="1"/>
  <c r="S23" i="17"/>
  <c r="S22" i="17"/>
  <c r="Q22" i="17" s="1"/>
  <c r="S20" i="17"/>
  <c r="Q20" i="17" s="1"/>
  <c r="S18" i="17"/>
  <c r="Q18" i="17" s="1"/>
  <c r="S19" i="17"/>
  <c r="Q19" i="17" s="1"/>
  <c r="S21" i="17"/>
  <c r="S17" i="17"/>
  <c r="Q17" i="17" s="1"/>
  <c r="Q7" i="17"/>
  <c r="Q15" i="17"/>
  <c r="Q9" i="17"/>
  <c r="Q8" i="17"/>
  <c r="Q12" i="17"/>
  <c r="Q16" i="17"/>
  <c r="H80" i="11" l="1"/>
  <c r="I82" i="11"/>
  <c r="M81" i="11"/>
  <c r="H46" i="11"/>
  <c r="I48" i="11"/>
  <c r="M47" i="11"/>
  <c r="Q21" i="17"/>
  <c r="Q23" i="17"/>
  <c r="Q25" i="17"/>
  <c r="Q27" i="17"/>
  <c r="D148" i="17"/>
  <c r="D149" i="17" s="1"/>
  <c r="D150" i="17" s="1"/>
  <c r="D151" i="17" s="1"/>
  <c r="D152" i="17" s="1"/>
  <c r="D153" i="17" s="1"/>
  <c r="D154" i="17" s="1"/>
  <c r="D155" i="17" s="1"/>
  <c r="D156" i="17" s="1"/>
  <c r="D157" i="17" s="1"/>
  <c r="D158" i="17" s="1"/>
  <c r="D159" i="17" s="1"/>
  <c r="S40" i="17"/>
  <c r="S39" i="17"/>
  <c r="S38" i="17"/>
  <c r="S37" i="17"/>
  <c r="S36" i="17"/>
  <c r="S35" i="17"/>
  <c r="S34" i="17"/>
  <c r="S33" i="17"/>
  <c r="S32" i="17"/>
  <c r="S31" i="17"/>
  <c r="S30" i="17"/>
  <c r="S29" i="17"/>
  <c r="X5" i="17"/>
  <c r="K148" i="17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T40" i="17"/>
  <c r="T39" i="17"/>
  <c r="T38" i="17"/>
  <c r="T37" i="17"/>
  <c r="T36" i="17"/>
  <c r="T35" i="17"/>
  <c r="T34" i="17"/>
  <c r="T33" i="17"/>
  <c r="T32" i="17"/>
  <c r="T31" i="17"/>
  <c r="T30" i="17"/>
  <c r="T29" i="17"/>
  <c r="I83" i="11" l="1"/>
  <c r="M82" i="11"/>
  <c r="J80" i="11"/>
  <c r="G81" i="11" s="1"/>
  <c r="I49" i="11"/>
  <c r="M48" i="11"/>
  <c r="J46" i="11"/>
  <c r="G47" i="11" s="1"/>
  <c r="X6" i="17"/>
  <c r="Q30" i="17"/>
  <c r="Q32" i="17"/>
  <c r="Q34" i="17"/>
  <c r="Q36" i="17"/>
  <c r="Q38" i="17"/>
  <c r="Q40" i="17"/>
  <c r="K160" i="17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T52" i="17"/>
  <c r="T51" i="17"/>
  <c r="T50" i="17"/>
  <c r="T49" i="17"/>
  <c r="T48" i="17"/>
  <c r="T47" i="17"/>
  <c r="T46" i="17"/>
  <c r="T45" i="17"/>
  <c r="T44" i="17"/>
  <c r="T43" i="17"/>
  <c r="T42" i="17"/>
  <c r="T41" i="17"/>
  <c r="Q29" i="17"/>
  <c r="Q31" i="17"/>
  <c r="Q33" i="17"/>
  <c r="Q35" i="17"/>
  <c r="Q37" i="17"/>
  <c r="Q39" i="17"/>
  <c r="D160" i="17"/>
  <c r="D161" i="17" s="1"/>
  <c r="D162" i="17" s="1"/>
  <c r="D163" i="17" s="1"/>
  <c r="D164" i="17" s="1"/>
  <c r="D165" i="17" s="1"/>
  <c r="D166" i="17" s="1"/>
  <c r="D167" i="17" s="1"/>
  <c r="D168" i="17" s="1"/>
  <c r="D169" i="17" s="1"/>
  <c r="D170" i="17" s="1"/>
  <c r="D171" i="17" s="1"/>
  <c r="S52" i="17"/>
  <c r="S51" i="17"/>
  <c r="Q51" i="17" s="1"/>
  <c r="S50" i="17"/>
  <c r="S49" i="17"/>
  <c r="Q49" i="17" s="1"/>
  <c r="S48" i="17"/>
  <c r="S47" i="17"/>
  <c r="Q47" i="17" s="1"/>
  <c r="S46" i="17"/>
  <c r="S45" i="17"/>
  <c r="Q45" i="17" s="1"/>
  <c r="S44" i="17"/>
  <c r="S43" i="17"/>
  <c r="Q43" i="17" s="1"/>
  <c r="S42" i="17"/>
  <c r="S41" i="17"/>
  <c r="Q41" i="17" s="1"/>
  <c r="I84" i="11" l="1"/>
  <c r="M83" i="11"/>
  <c r="H81" i="11"/>
  <c r="J81" i="11" s="1"/>
  <c r="G82" i="11" s="1"/>
  <c r="H47" i="11"/>
  <c r="J47" i="11" s="1"/>
  <c r="G48" i="11" s="1"/>
  <c r="I50" i="11"/>
  <c r="M49" i="11"/>
  <c r="S64" i="17"/>
  <c r="Q64" i="17" s="1"/>
  <c r="S63" i="17"/>
  <c r="S62" i="17"/>
  <c r="Q62" i="17" s="1"/>
  <c r="S61" i="17"/>
  <c r="S60" i="17"/>
  <c r="Q60" i="17" s="1"/>
  <c r="S59" i="17"/>
  <c r="S58" i="17"/>
  <c r="Q58" i="17" s="1"/>
  <c r="S57" i="17"/>
  <c r="S56" i="17"/>
  <c r="Q56" i="17" s="1"/>
  <c r="S55" i="17"/>
  <c r="S54" i="17"/>
  <c r="Q54" i="17" s="1"/>
  <c r="S53" i="17"/>
  <c r="D172" i="17"/>
  <c r="D173" i="17" s="1"/>
  <c r="D174" i="17" s="1"/>
  <c r="D175" i="17" s="1"/>
  <c r="D176" i="17" s="1"/>
  <c r="D177" i="17" s="1"/>
  <c r="D178" i="17" s="1"/>
  <c r="D179" i="17" s="1"/>
  <c r="D180" i="17" s="1"/>
  <c r="D181" i="17" s="1"/>
  <c r="D182" i="17" s="1"/>
  <c r="D183" i="17" s="1"/>
  <c r="X7" i="17"/>
  <c r="Q42" i="17"/>
  <c r="Q44" i="17"/>
  <c r="Q46" i="17"/>
  <c r="Q48" i="17"/>
  <c r="Q50" i="17"/>
  <c r="Q52" i="17"/>
  <c r="K172" i="17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T64" i="17"/>
  <c r="T63" i="17"/>
  <c r="T62" i="17"/>
  <c r="T61" i="17"/>
  <c r="T60" i="17"/>
  <c r="T59" i="17"/>
  <c r="T58" i="17"/>
  <c r="T57" i="17"/>
  <c r="T56" i="17"/>
  <c r="T55" i="17"/>
  <c r="T54" i="17"/>
  <c r="T53" i="17"/>
  <c r="H82" i="11" l="1"/>
  <c r="J82" i="11" s="1"/>
  <c r="G83" i="11" s="1"/>
  <c r="I85" i="11"/>
  <c r="M84" i="11"/>
  <c r="H48" i="11"/>
  <c r="J48" i="11" s="1"/>
  <c r="G49" i="11" s="1"/>
  <c r="I51" i="11"/>
  <c r="M50" i="11"/>
  <c r="X8" i="17"/>
  <c r="K184" i="17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T76" i="17"/>
  <c r="T75" i="17"/>
  <c r="T74" i="17"/>
  <c r="T73" i="17"/>
  <c r="T72" i="17"/>
  <c r="T71" i="17"/>
  <c r="T70" i="17"/>
  <c r="T69" i="17"/>
  <c r="T68" i="17"/>
  <c r="T67" i="17"/>
  <c r="T66" i="17"/>
  <c r="T65" i="17"/>
  <c r="D184" i="17"/>
  <c r="D185" i="17" s="1"/>
  <c r="D186" i="17" s="1"/>
  <c r="D187" i="17" s="1"/>
  <c r="D188" i="17" s="1"/>
  <c r="D189" i="17" s="1"/>
  <c r="D190" i="17" s="1"/>
  <c r="D191" i="17" s="1"/>
  <c r="D192" i="17" s="1"/>
  <c r="D193" i="17" s="1"/>
  <c r="D194" i="17" s="1"/>
  <c r="D195" i="17" s="1"/>
  <c r="S76" i="17"/>
  <c r="S75" i="17"/>
  <c r="Q75" i="17" s="1"/>
  <c r="S74" i="17"/>
  <c r="S73" i="17"/>
  <c r="Q73" i="17" s="1"/>
  <c r="S72" i="17"/>
  <c r="S71" i="17"/>
  <c r="Q71" i="17" s="1"/>
  <c r="S70" i="17"/>
  <c r="S69" i="17"/>
  <c r="Q69" i="17" s="1"/>
  <c r="S68" i="17"/>
  <c r="S67" i="17"/>
  <c r="Q67" i="17" s="1"/>
  <c r="S66" i="17"/>
  <c r="S65" i="17"/>
  <c r="Q65" i="17" s="1"/>
  <c r="Q53" i="17"/>
  <c r="Q55" i="17"/>
  <c r="Q57" i="17"/>
  <c r="Q59" i="17"/>
  <c r="Q61" i="17"/>
  <c r="Q63" i="17"/>
  <c r="H83" i="11" l="1"/>
  <c r="J83" i="11" s="1"/>
  <c r="G84" i="11" s="1"/>
  <c r="I86" i="11"/>
  <c r="M85" i="11"/>
  <c r="I52" i="11"/>
  <c r="M51" i="11"/>
  <c r="H49" i="11"/>
  <c r="J49" i="11" s="1"/>
  <c r="G50" i="11" s="1"/>
  <c r="X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D196" i="17"/>
  <c r="D197" i="17" s="1"/>
  <c r="D198" i="17" s="1"/>
  <c r="D199" i="17" s="1"/>
  <c r="D200" i="17" s="1"/>
  <c r="D201" i="17" s="1"/>
  <c r="D202" i="17" s="1"/>
  <c r="D203" i="17" s="1"/>
  <c r="D204" i="17" s="1"/>
  <c r="D205" i="17" s="1"/>
  <c r="D206" i="17" s="1"/>
  <c r="D207" i="17" s="1"/>
  <c r="Q66" i="17"/>
  <c r="Q68" i="17"/>
  <c r="Q70" i="17"/>
  <c r="Q72" i="17"/>
  <c r="Q74" i="17"/>
  <c r="Q76" i="17"/>
  <c r="K196" i="17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K207" i="17" s="1"/>
  <c r="T88" i="17"/>
  <c r="T87" i="17"/>
  <c r="T86" i="17"/>
  <c r="T85" i="17"/>
  <c r="T84" i="17"/>
  <c r="T83" i="17"/>
  <c r="T82" i="17"/>
  <c r="T81" i="17"/>
  <c r="T80" i="17"/>
  <c r="T79" i="17"/>
  <c r="T78" i="17"/>
  <c r="T77" i="17"/>
  <c r="H84" i="11" l="1"/>
  <c r="J84" i="11" s="1"/>
  <c r="G85" i="11" s="1"/>
  <c r="M86" i="11"/>
  <c r="H50" i="11"/>
  <c r="J50" i="11" s="1"/>
  <c r="G51" i="11" s="1"/>
  <c r="I53" i="11"/>
  <c r="M52" i="11"/>
  <c r="X10" i="17"/>
  <c r="D208" i="17"/>
  <c r="D209" i="17" s="1"/>
  <c r="D210" i="17" s="1"/>
  <c r="D211" i="17" s="1"/>
  <c r="D212" i="17" s="1"/>
  <c r="D213" i="17" s="1"/>
  <c r="D214" i="17" s="1"/>
  <c r="D215" i="17" s="1"/>
  <c r="D216" i="17" s="1"/>
  <c r="D217" i="17" s="1"/>
  <c r="D218" i="17" s="1"/>
  <c r="D219" i="17" s="1"/>
  <c r="D220" i="17" s="1"/>
  <c r="S100" i="17"/>
  <c r="S99" i="17"/>
  <c r="S98" i="17"/>
  <c r="S97" i="17"/>
  <c r="S96" i="17"/>
  <c r="S95" i="17"/>
  <c r="S94" i="17"/>
  <c r="S93" i="17"/>
  <c r="S92" i="17"/>
  <c r="S91" i="17"/>
  <c r="S90" i="17"/>
  <c r="S89" i="17"/>
  <c r="Q78" i="17"/>
  <c r="Q80" i="17"/>
  <c r="Q82" i="17"/>
  <c r="Q84" i="17"/>
  <c r="Q86" i="17"/>
  <c r="Q88" i="17"/>
  <c r="K208" i="17"/>
  <c r="K209" i="17" s="1"/>
  <c r="K210" i="17" s="1"/>
  <c r="K211" i="17" s="1"/>
  <c r="K212" i="17" s="1"/>
  <c r="K213" i="17" s="1"/>
  <c r="K214" i="17" s="1"/>
  <c r="K215" i="17" s="1"/>
  <c r="K216" i="17" s="1"/>
  <c r="K217" i="17" s="1"/>
  <c r="K218" i="17" s="1"/>
  <c r="K219" i="17" s="1"/>
  <c r="K220" i="17" s="1"/>
  <c r="T100" i="17"/>
  <c r="T99" i="17"/>
  <c r="T98" i="17"/>
  <c r="T97" i="17"/>
  <c r="T96" i="17"/>
  <c r="T95" i="17"/>
  <c r="T94" i="17"/>
  <c r="T93" i="17"/>
  <c r="T92" i="17"/>
  <c r="T91" i="17"/>
  <c r="T90" i="17"/>
  <c r="T89" i="17"/>
  <c r="Q77" i="17"/>
  <c r="Q79" i="17"/>
  <c r="Q81" i="17"/>
  <c r="Q83" i="17"/>
  <c r="Q85" i="17"/>
  <c r="Q87" i="17"/>
  <c r="H85" i="11" l="1"/>
  <c r="J85" i="11" s="1"/>
  <c r="G86" i="11" s="1"/>
  <c r="I54" i="11"/>
  <c r="M53" i="11"/>
  <c r="H51" i="11"/>
  <c r="J51" i="11" s="1"/>
  <c r="G52" i="11" s="1"/>
  <c r="X11" i="17"/>
  <c r="Q90" i="17"/>
  <c r="Q92" i="17"/>
  <c r="Q94" i="17"/>
  <c r="Q96" i="17"/>
  <c r="Q98" i="17"/>
  <c r="Q100" i="17"/>
  <c r="T112" i="17"/>
  <c r="T111" i="17"/>
  <c r="T110" i="17"/>
  <c r="T109" i="17"/>
  <c r="T108" i="17"/>
  <c r="T107" i="17"/>
  <c r="T106" i="17"/>
  <c r="T105" i="17"/>
  <c r="T104" i="17"/>
  <c r="T103" i="17"/>
  <c r="T102" i="17"/>
  <c r="T101" i="17"/>
  <c r="K221" i="17"/>
  <c r="K222" i="17" s="1"/>
  <c r="K223" i="17" s="1"/>
  <c r="K224" i="17" s="1"/>
  <c r="K225" i="17" s="1"/>
  <c r="K226" i="17" s="1"/>
  <c r="K227" i="17" s="1"/>
  <c r="K228" i="17" s="1"/>
  <c r="K229" i="17" s="1"/>
  <c r="K230" i="17" s="1"/>
  <c r="K231" i="17" s="1"/>
  <c r="Q89" i="17"/>
  <c r="Q91" i="17"/>
  <c r="Q93" i="17"/>
  <c r="Q95" i="17"/>
  <c r="Q97" i="17"/>
  <c r="Q99" i="17"/>
  <c r="S112" i="17"/>
  <c r="S111" i="17"/>
  <c r="Q111" i="17" s="1"/>
  <c r="S110" i="17"/>
  <c r="S109" i="17"/>
  <c r="Q109" i="17" s="1"/>
  <c r="S108" i="17"/>
  <c r="S107" i="17"/>
  <c r="Q107" i="17" s="1"/>
  <c r="S106" i="17"/>
  <c r="S105" i="17"/>
  <c r="Q105" i="17" s="1"/>
  <c r="S104" i="17"/>
  <c r="S103" i="17"/>
  <c r="Q103" i="17" s="1"/>
  <c r="S102" i="17"/>
  <c r="S101" i="17"/>
  <c r="Q101" i="17" s="1"/>
  <c r="D221" i="17"/>
  <c r="D222" i="17" s="1"/>
  <c r="D223" i="17" s="1"/>
  <c r="D224" i="17" s="1"/>
  <c r="D225" i="17" s="1"/>
  <c r="D226" i="17" s="1"/>
  <c r="D227" i="17" s="1"/>
  <c r="D228" i="17" s="1"/>
  <c r="D229" i="17" s="1"/>
  <c r="D230" i="17" s="1"/>
  <c r="D231" i="17" s="1"/>
  <c r="H86" i="11" l="1"/>
  <c r="H87" i="11" s="1"/>
  <c r="H52" i="11"/>
  <c r="J52" i="11" s="1"/>
  <c r="G53" i="11" s="1"/>
  <c r="M54" i="11"/>
  <c r="T124" i="17"/>
  <c r="T123" i="17"/>
  <c r="T122" i="17"/>
  <c r="T121" i="17"/>
  <c r="T120" i="17"/>
  <c r="T119" i="17"/>
  <c r="T118" i="17"/>
  <c r="T117" i="17"/>
  <c r="T116" i="17"/>
  <c r="T115" i="17"/>
  <c r="T114" i="17"/>
  <c r="T113" i="17"/>
  <c r="K232" i="17"/>
  <c r="K233" i="17" s="1"/>
  <c r="K234" i="17" s="1"/>
  <c r="K235" i="17" s="1"/>
  <c r="K236" i="17" s="1"/>
  <c r="K237" i="17" s="1"/>
  <c r="K238" i="17" s="1"/>
  <c r="K239" i="17" s="1"/>
  <c r="S124" i="17"/>
  <c r="Q124" i="17" s="1"/>
  <c r="S123" i="17"/>
  <c r="Q123" i="17" s="1"/>
  <c r="S122" i="17"/>
  <c r="Q122" i="17" s="1"/>
  <c r="S121" i="17"/>
  <c r="Q121" i="17" s="1"/>
  <c r="S120" i="17"/>
  <c r="Q120" i="17" s="1"/>
  <c r="S119" i="17"/>
  <c r="Q119" i="17" s="1"/>
  <c r="S118" i="17"/>
  <c r="Q118" i="17" s="1"/>
  <c r="S117" i="17"/>
  <c r="Q117" i="17" s="1"/>
  <c r="S116" i="17"/>
  <c r="Q116" i="17" s="1"/>
  <c r="S115" i="17"/>
  <c r="Q115" i="17" s="1"/>
  <c r="S114" i="17"/>
  <c r="Q114" i="17" s="1"/>
  <c r="S113" i="17"/>
  <c r="Q113" i="17" s="1"/>
  <c r="D232" i="17"/>
  <c r="D233" i="17" s="1"/>
  <c r="D234" i="17" s="1"/>
  <c r="D235" i="17" s="1"/>
  <c r="D236" i="17" s="1"/>
  <c r="D237" i="17" s="1"/>
  <c r="D238" i="17" s="1"/>
  <c r="D239" i="17" s="1"/>
  <c r="Q102" i="17"/>
  <c r="Q104" i="17"/>
  <c r="Q106" i="17"/>
  <c r="Q108" i="17"/>
  <c r="Q110" i="17"/>
  <c r="Q112" i="17"/>
  <c r="X12" i="17"/>
  <c r="J86" i="11" l="1"/>
  <c r="H53" i="11"/>
  <c r="J53" i="11" s="1"/>
  <c r="X13" i="17"/>
  <c r="X14" i="17"/>
  <c r="G54" i="11" l="1"/>
  <c r="H54" i="11" s="1"/>
  <c r="H55" i="11" s="1"/>
  <c r="J54" i="11" l="1"/>
  <c r="AC37" i="16"/>
  <c r="AC38" i="16"/>
  <c r="AC39" i="16"/>
  <c r="AC40" i="16"/>
  <c r="AC41" i="16"/>
  <c r="AC42" i="16"/>
  <c r="AC43" i="16"/>
  <c r="R6" i="1"/>
  <c r="AF27" i="16" l="1"/>
  <c r="AE27" i="16"/>
  <c r="R6" i="16"/>
  <c r="AX26" i="16"/>
  <c r="AW26" i="16"/>
  <c r="AO26" i="16"/>
  <c r="AC26" i="16"/>
  <c r="D12" i="11" l="1"/>
  <c r="AE65" i="16"/>
  <c r="AE64" i="16"/>
  <c r="AE63" i="16"/>
  <c r="AE62" i="16"/>
  <c r="AE61" i="16"/>
  <c r="AE60" i="16"/>
  <c r="AE59" i="16"/>
  <c r="AE58" i="16"/>
  <c r="T58" i="16"/>
  <c r="AE57" i="16"/>
  <c r="T57" i="16"/>
  <c r="AE56" i="16"/>
  <c r="AE55" i="16"/>
  <c r="AE54" i="16"/>
  <c r="AE53" i="16"/>
  <c r="U53" i="16"/>
  <c r="AE52" i="16"/>
  <c r="AE51" i="16"/>
  <c r="AE50" i="16"/>
  <c r="AE49" i="16"/>
  <c r="AR48" i="16"/>
  <c r="AS48" i="16" s="1"/>
  <c r="AG48" i="16" s="1"/>
  <c r="AH48" i="16" s="1"/>
  <c r="AK48" i="16" s="1"/>
  <c r="AL48" i="16" s="1"/>
  <c r="AJ48" i="16"/>
  <c r="AD48" i="16"/>
  <c r="AA48" i="16"/>
  <c r="G42" i="16"/>
  <c r="G41" i="16"/>
  <c r="G40" i="16"/>
  <c r="G39" i="16"/>
  <c r="G38" i="16"/>
  <c r="G37" i="16"/>
  <c r="M36" i="16"/>
  <c r="M34" i="16" s="1"/>
  <c r="C23" i="16" s="1"/>
  <c r="G36" i="16"/>
  <c r="G35" i="16"/>
  <c r="G34" i="16"/>
  <c r="G33" i="16"/>
  <c r="O32" i="16"/>
  <c r="O36" i="16" s="1"/>
  <c r="O34" i="16" s="1"/>
  <c r="C24" i="16" s="1"/>
  <c r="M32" i="16"/>
  <c r="K32" i="16"/>
  <c r="K36" i="16" s="1"/>
  <c r="K34" i="16" s="1"/>
  <c r="C25" i="16" s="1"/>
  <c r="T5" i="16" s="1"/>
  <c r="U5" i="16" s="1"/>
  <c r="G32" i="16"/>
  <c r="G31" i="16"/>
  <c r="G30" i="16"/>
  <c r="G29" i="16"/>
  <c r="G28" i="16"/>
  <c r="G27" i="16"/>
  <c r="AP26" i="16"/>
  <c r="AS26" i="16" s="1"/>
  <c r="G26" i="16"/>
  <c r="E18" i="16"/>
  <c r="G17" i="16"/>
  <c r="E8" i="16"/>
  <c r="R7" i="16"/>
  <c r="N7" i="16"/>
  <c r="M7" i="16"/>
  <c r="K7" i="16"/>
  <c r="P7" i="16" s="1"/>
  <c r="P6" i="16"/>
  <c r="N6" i="16"/>
  <c r="S6" i="16" s="1"/>
  <c r="M6" i="16"/>
  <c r="O6" i="16" s="1"/>
  <c r="L6" i="16"/>
  <c r="Q6" i="16" s="1"/>
  <c r="K6" i="16"/>
  <c r="F17" i="16" s="1"/>
  <c r="AR4" i="16"/>
  <c r="AS4" i="16" s="1"/>
  <c r="AF4" i="16" s="1"/>
  <c r="AG4" i="16" s="1"/>
  <c r="AD4" i="16"/>
  <c r="AA4" i="16"/>
  <c r="F17" i="1"/>
  <c r="G17" i="1"/>
  <c r="P6" i="1"/>
  <c r="O7" i="16" l="1"/>
  <c r="AD28" i="16" s="1"/>
  <c r="Y49" i="16"/>
  <c r="Y5" i="16"/>
  <c r="U6" i="16"/>
  <c r="Z49" i="16"/>
  <c r="Z5" i="16"/>
  <c r="V47" i="16"/>
  <c r="V45" i="16"/>
  <c r="V51" i="16"/>
  <c r="V49" i="16"/>
  <c r="V44" i="16"/>
  <c r="V46" i="16"/>
  <c r="V50" i="16"/>
  <c r="AI4" i="16"/>
  <c r="AJ4" i="16" s="1"/>
  <c r="V52" i="16"/>
  <c r="V5" i="16"/>
  <c r="V48" i="16"/>
  <c r="N8" i="16"/>
  <c r="K8" i="16"/>
  <c r="L7" i="16"/>
  <c r="Q7" i="16" s="1"/>
  <c r="Y27" i="16" l="1"/>
  <c r="AJ27" i="16"/>
  <c r="AI27" i="16"/>
  <c r="AR27" i="16" s="1"/>
  <c r="AK4" i="16"/>
  <c r="P8" i="16"/>
  <c r="L8" i="16"/>
  <c r="Q8" i="16" s="1"/>
  <c r="M8" i="16"/>
  <c r="O8" i="16" s="1"/>
  <c r="AD29" i="16" s="1"/>
  <c r="K9" i="16"/>
  <c r="R8" i="16"/>
  <c r="S7" i="16"/>
  <c r="S57" i="16"/>
  <c r="U57" i="16" s="1"/>
  <c r="AA5" i="16"/>
  <c r="Y50" i="16"/>
  <c r="U7" i="16"/>
  <c r="Y6" i="16"/>
  <c r="V6" i="16"/>
  <c r="Z50" i="16"/>
  <c r="Z6" i="16"/>
  <c r="S8" i="16"/>
  <c r="N9" i="16"/>
  <c r="V53" i="16"/>
  <c r="S58" i="16"/>
  <c r="U58" i="16" s="1"/>
  <c r="AA49" i="16"/>
  <c r="U64" i="9"/>
  <c r="U63" i="9"/>
  <c r="U62" i="9"/>
  <c r="T58" i="10"/>
  <c r="T57" i="10"/>
  <c r="AR26" i="10"/>
  <c r="AS26" i="10" s="1"/>
  <c r="AT27" i="9"/>
  <c r="AS27" i="9"/>
  <c r="AJ28" i="16" l="1"/>
  <c r="AI28" i="16"/>
  <c r="AR28" i="16" s="1"/>
  <c r="Y28" i="16"/>
  <c r="AA6" i="16"/>
  <c r="AB49" i="16"/>
  <c r="AB5" i="16"/>
  <c r="M9" i="16"/>
  <c r="O9" i="16" s="1"/>
  <c r="AD30" i="16" s="1"/>
  <c r="L9" i="16"/>
  <c r="Q9" i="16" s="1"/>
  <c r="R9" i="16"/>
  <c r="P9" i="16"/>
  <c r="K10" i="16"/>
  <c r="N10" i="16"/>
  <c r="S9" i="16"/>
  <c r="Y51" i="16"/>
  <c r="U8" i="16"/>
  <c r="Y7" i="16"/>
  <c r="AC49" i="16"/>
  <c r="AC50" i="16" s="1"/>
  <c r="AC51" i="16" s="1"/>
  <c r="AC52" i="16" s="1"/>
  <c r="AC53" i="16" s="1"/>
  <c r="AC54" i="16" s="1"/>
  <c r="AC55" i="16" s="1"/>
  <c r="AC56" i="16" s="1"/>
  <c r="AC57" i="16" s="1"/>
  <c r="AC58" i="16" s="1"/>
  <c r="AC59" i="16" s="1"/>
  <c r="AC5" i="16"/>
  <c r="AC6" i="16" s="1"/>
  <c r="AC7" i="16" s="1"/>
  <c r="AC8" i="16" s="1"/>
  <c r="AC9" i="16" s="1"/>
  <c r="AC10" i="16" s="1"/>
  <c r="AC11" i="16" s="1"/>
  <c r="AC12" i="16" s="1"/>
  <c r="AC13" i="16" s="1"/>
  <c r="AC14" i="16" s="1"/>
  <c r="AC15" i="16" s="1"/>
  <c r="AF28" i="16"/>
  <c r="AF29" i="16" s="1"/>
  <c r="AF30" i="16" s="1"/>
  <c r="AF31" i="16" s="1"/>
  <c r="AF32" i="16" s="1"/>
  <c r="V7" i="16"/>
  <c r="AA50" i="16"/>
  <c r="Z51" i="16"/>
  <c r="Z7" i="16"/>
  <c r="Y29" i="16" l="1"/>
  <c r="AJ29" i="16"/>
  <c r="AI29" i="16"/>
  <c r="AR29" i="16" s="1"/>
  <c r="AF33" i="16"/>
  <c r="AB6" i="16"/>
  <c r="AD5" i="16"/>
  <c r="AC60" i="16"/>
  <c r="AD59" i="16"/>
  <c r="AI59" i="16" s="1"/>
  <c r="AA51" i="16"/>
  <c r="Z52" i="16"/>
  <c r="Z8" i="16"/>
  <c r="AB50" i="16"/>
  <c r="AD49" i="16"/>
  <c r="AC16" i="16"/>
  <c r="AD15" i="16"/>
  <c r="AH15" i="16" s="1"/>
  <c r="V8" i="16"/>
  <c r="K11" i="16"/>
  <c r="R10" i="16"/>
  <c r="M10" i="16"/>
  <c r="O10" i="16" s="1"/>
  <c r="AD31" i="16" s="1"/>
  <c r="P10" i="16"/>
  <c r="L10" i="16"/>
  <c r="Q10" i="16" s="1"/>
  <c r="Y52" i="16"/>
  <c r="AA52" i="16" s="1"/>
  <c r="U9" i="16"/>
  <c r="Y8" i="16"/>
  <c r="AA8" i="16" s="1"/>
  <c r="AA7" i="16"/>
  <c r="N11" i="16"/>
  <c r="AE28" i="16"/>
  <c r="F34" i="14"/>
  <c r="AR48" i="1"/>
  <c r="AS48" i="1" s="1"/>
  <c r="AG48" i="1" s="1"/>
  <c r="AH48" i="1" s="1"/>
  <c r="AC49" i="1"/>
  <c r="AB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49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B50" i="1"/>
  <c r="AB51" i="1" s="1"/>
  <c r="AB52" i="1" s="1"/>
  <c r="AB53" i="1" s="1"/>
  <c r="AE49" i="1"/>
  <c r="AC50" i="1"/>
  <c r="AC51" i="1" s="1"/>
  <c r="AC52" i="1" s="1"/>
  <c r="AC53" i="1" s="1"/>
  <c r="AC54" i="1" s="1"/>
  <c r="AC55" i="1" s="1"/>
  <c r="AC56" i="1" s="1"/>
  <c r="AC57" i="1" s="1"/>
  <c r="AC58" i="1" s="1"/>
  <c r="AC59" i="1" s="1"/>
  <c r="AJ48" i="1"/>
  <c r="AD48" i="1"/>
  <c r="AA48" i="1"/>
  <c r="T58" i="1"/>
  <c r="T57" i="1"/>
  <c r="AK48" i="1" l="1"/>
  <c r="AL48" i="1" s="1"/>
  <c r="AJ30" i="16"/>
  <c r="AI30" i="16"/>
  <c r="AR30" i="16" s="1"/>
  <c r="Y30" i="16"/>
  <c r="AF34" i="16"/>
  <c r="AE29" i="16"/>
  <c r="P11" i="16"/>
  <c r="K12" i="16"/>
  <c r="R11" i="16"/>
  <c r="L11" i="16"/>
  <c r="Q11" i="16" s="1"/>
  <c r="M11" i="16"/>
  <c r="O11" i="16" s="1"/>
  <c r="AD32" i="16" s="1"/>
  <c r="AD16" i="16"/>
  <c r="AH16" i="16" s="1"/>
  <c r="AC17" i="16"/>
  <c r="AI49" i="16"/>
  <c r="AF49" i="16"/>
  <c r="AH5" i="16"/>
  <c r="AE5" i="16"/>
  <c r="Z9" i="16"/>
  <c r="AC61" i="16"/>
  <c r="AD60" i="16"/>
  <c r="AI60" i="16" s="1"/>
  <c r="S11" i="16"/>
  <c r="N12" i="16"/>
  <c r="Y53" i="16"/>
  <c r="Y9" i="16"/>
  <c r="V9" i="16"/>
  <c r="AB51" i="16"/>
  <c r="AD50" i="16"/>
  <c r="AD6" i="16"/>
  <c r="AB7" i="16"/>
  <c r="S10" i="16"/>
  <c r="Z53" i="16" s="1"/>
  <c r="AC60" i="1"/>
  <c r="AD59" i="1"/>
  <c r="AI59" i="1" s="1"/>
  <c r="AD50" i="1"/>
  <c r="AI50" i="1" s="1"/>
  <c r="AD53" i="1"/>
  <c r="AI53" i="1" s="1"/>
  <c r="AD49" i="1"/>
  <c r="AI49" i="1" s="1"/>
  <c r="AD51" i="1"/>
  <c r="AI51" i="1" s="1"/>
  <c r="AD52" i="1"/>
  <c r="AI52" i="1" s="1"/>
  <c r="AB54" i="1"/>
  <c r="AR26" i="1"/>
  <c r="AS26" i="1" s="1"/>
  <c r="AG26" i="1" s="1"/>
  <c r="AH26" i="1" s="1"/>
  <c r="AE37" i="1"/>
  <c r="AE38" i="1"/>
  <c r="AE39" i="1"/>
  <c r="AE40" i="1"/>
  <c r="AE41" i="1"/>
  <c r="AE42" i="1"/>
  <c r="AE43" i="1"/>
  <c r="AD26" i="1"/>
  <c r="AA26" i="1"/>
  <c r="AF35" i="16" l="1"/>
  <c r="N13" i="16"/>
  <c r="AA9" i="16"/>
  <c r="AP49" i="16"/>
  <c r="AQ49" i="16" s="1"/>
  <c r="AR49" i="16" s="1"/>
  <c r="AS49" i="16" s="1"/>
  <c r="AG49" i="16" s="1"/>
  <c r="AH49" i="16" s="1"/>
  <c r="AK49" i="16" s="1"/>
  <c r="AL49" i="16" s="1"/>
  <c r="Z54" i="16"/>
  <c r="Z10" i="16"/>
  <c r="AH6" i="16"/>
  <c r="AE6" i="16"/>
  <c r="U10" i="16"/>
  <c r="AD17" i="16"/>
  <c r="AH17" i="16" s="1"/>
  <c r="AC18" i="16"/>
  <c r="AA53" i="16"/>
  <c r="Y54" i="16"/>
  <c r="AA54" i="16" s="1"/>
  <c r="Y10" i="16"/>
  <c r="AA10" i="16" s="1"/>
  <c r="U11" i="16"/>
  <c r="AI50" i="16"/>
  <c r="AF50" i="16"/>
  <c r="AD7" i="16"/>
  <c r="AB8" i="16"/>
  <c r="AB52" i="16"/>
  <c r="AD51" i="16"/>
  <c r="AC62" i="16"/>
  <c r="AD61" i="16"/>
  <c r="AI61" i="16" s="1"/>
  <c r="AP5" i="16"/>
  <c r="AQ5" i="16" s="1"/>
  <c r="AR5" i="16" s="1"/>
  <c r="AS5" i="16" s="1"/>
  <c r="AF5" i="16" s="1"/>
  <c r="AG5" i="16" s="1"/>
  <c r="AJ5" i="16" s="1"/>
  <c r="P12" i="16"/>
  <c r="L12" i="16"/>
  <c r="Q12" i="16" s="1"/>
  <c r="M12" i="16"/>
  <c r="O12" i="16" s="1"/>
  <c r="AD33" i="16" s="1"/>
  <c r="K13" i="16"/>
  <c r="R12" i="16"/>
  <c r="AE30" i="16"/>
  <c r="AB55" i="1"/>
  <c r="AD54" i="1"/>
  <c r="AI54" i="1" s="1"/>
  <c r="AC61" i="1"/>
  <c r="AD60" i="1"/>
  <c r="AS4" i="9"/>
  <c r="AT4" i="9" s="1"/>
  <c r="AE4" i="9"/>
  <c r="AB4" i="9"/>
  <c r="V59" i="9"/>
  <c r="V54" i="9"/>
  <c r="AR4" i="1"/>
  <c r="AS4" i="1" s="1"/>
  <c r="AF4" i="1" s="1"/>
  <c r="AG4" i="1" s="1"/>
  <c r="U53" i="1"/>
  <c r="AD4" i="1"/>
  <c r="AA4" i="1"/>
  <c r="AJ32" i="16" l="1"/>
  <c r="AI32" i="16"/>
  <c r="AR32" i="16" s="1"/>
  <c r="Y32" i="16"/>
  <c r="V10" i="16"/>
  <c r="V11" i="16" s="1"/>
  <c r="Y31" i="16"/>
  <c r="AJ31" i="16"/>
  <c r="AI31" i="16"/>
  <c r="AR31" i="16" s="1"/>
  <c r="AF36" i="16"/>
  <c r="AE31" i="16"/>
  <c r="AB53" i="16"/>
  <c r="AD52" i="16"/>
  <c r="AC63" i="16"/>
  <c r="AD62" i="16"/>
  <c r="AI62" i="16" s="1"/>
  <c r="AB9" i="16"/>
  <c r="AD8" i="16"/>
  <c r="AP50" i="16"/>
  <c r="AQ50" i="16" s="1"/>
  <c r="AR50" i="16" s="1"/>
  <c r="AS50" i="16" s="1"/>
  <c r="AG50" i="16" s="1"/>
  <c r="AH50" i="16" s="1"/>
  <c r="AK50" i="16" s="1"/>
  <c r="AL50" i="16" s="1"/>
  <c r="AP6" i="16"/>
  <c r="AQ6" i="16" s="1"/>
  <c r="AR6" i="16" s="1"/>
  <c r="AS6" i="16" s="1"/>
  <c r="AF6" i="16" s="1"/>
  <c r="AG6" i="16" s="1"/>
  <c r="AJ6" i="16" s="1"/>
  <c r="N14" i="16"/>
  <c r="M13" i="16"/>
  <c r="O13" i="16" s="1"/>
  <c r="AD34" i="16" s="1"/>
  <c r="K14" i="16"/>
  <c r="P13" i="16"/>
  <c r="L13" i="16"/>
  <c r="Q13" i="16" s="1"/>
  <c r="R13" i="16"/>
  <c r="AK5" i="16"/>
  <c r="AH7" i="16"/>
  <c r="AE7" i="16"/>
  <c r="AC19" i="16"/>
  <c r="AD18" i="16"/>
  <c r="AH18" i="16" s="1"/>
  <c r="S12" i="16"/>
  <c r="Y55" i="16"/>
  <c r="Y11" i="16"/>
  <c r="AI51" i="16"/>
  <c r="AF51" i="16"/>
  <c r="AG4" i="9"/>
  <c r="AH4" i="9" s="1"/>
  <c r="AI60" i="1"/>
  <c r="AD55" i="1"/>
  <c r="AB56" i="1"/>
  <c r="AC62" i="1"/>
  <c r="AD61" i="1"/>
  <c r="AD4" i="10"/>
  <c r="AA4" i="10"/>
  <c r="AQ4" i="10"/>
  <c r="AR4" i="10" s="1"/>
  <c r="AF4" i="10" s="1"/>
  <c r="AG4" i="10" s="1"/>
  <c r="U53" i="10"/>
  <c r="AF37" i="16" l="1"/>
  <c r="Z55" i="16"/>
  <c r="AA55" i="16" s="1"/>
  <c r="AH8" i="16"/>
  <c r="AE8" i="16"/>
  <c r="AP7" i="16"/>
  <c r="AQ7" i="16" s="1"/>
  <c r="AR7" i="16" s="1"/>
  <c r="AS7" i="16" s="1"/>
  <c r="AF7" i="16" s="1"/>
  <c r="AG7" i="16" s="1"/>
  <c r="AJ7" i="16" s="1"/>
  <c r="S13" i="16"/>
  <c r="Z56" i="16" s="1"/>
  <c r="AB10" i="16"/>
  <c r="AD9" i="16"/>
  <c r="AD53" i="16"/>
  <c r="AB54" i="16"/>
  <c r="R14" i="16"/>
  <c r="K15" i="16"/>
  <c r="M14" i="16"/>
  <c r="O14" i="16" s="1"/>
  <c r="AD35" i="16" s="1"/>
  <c r="P14" i="16"/>
  <c r="L14" i="16"/>
  <c r="Q14" i="16" s="1"/>
  <c r="Z11" i="16"/>
  <c r="S14" i="16"/>
  <c r="N15" i="16"/>
  <c r="AI52" i="16"/>
  <c r="AF52" i="16"/>
  <c r="AA11" i="16"/>
  <c r="AP51" i="16"/>
  <c r="AQ51" i="16" s="1"/>
  <c r="AR51" i="16" s="1"/>
  <c r="AS51" i="16" s="1"/>
  <c r="AG51" i="16" s="1"/>
  <c r="AH51" i="16" s="1"/>
  <c r="AK51" i="16" s="1"/>
  <c r="AL51" i="16" s="1"/>
  <c r="U12" i="16"/>
  <c r="AD19" i="16"/>
  <c r="AH19" i="16" s="1"/>
  <c r="AC20" i="16"/>
  <c r="AK6" i="16"/>
  <c r="Y56" i="16"/>
  <c r="Y12" i="16"/>
  <c r="AC64" i="16"/>
  <c r="AD63" i="16"/>
  <c r="AI63" i="16" s="1"/>
  <c r="AI61" i="1"/>
  <c r="AB57" i="1"/>
  <c r="AD56" i="1"/>
  <c r="AC63" i="1"/>
  <c r="AD62" i="1"/>
  <c r="AI55" i="1"/>
  <c r="T41" i="10"/>
  <c r="V12" i="16" l="1"/>
  <c r="Y33" i="16"/>
  <c r="AJ33" i="16"/>
  <c r="AI33" i="16"/>
  <c r="AR33" i="16" s="1"/>
  <c r="AF38" i="16"/>
  <c r="AK7" i="16"/>
  <c r="U13" i="16"/>
  <c r="AC21" i="16"/>
  <c r="AD21" i="16" s="1"/>
  <c r="AH21" i="16" s="1"/>
  <c r="AD20" i="16"/>
  <c r="AH20" i="16" s="1"/>
  <c r="P15" i="16"/>
  <c r="L15" i="16"/>
  <c r="Q15" i="16" s="1"/>
  <c r="R15" i="16"/>
  <c r="M15" i="16"/>
  <c r="O15" i="16" s="1"/>
  <c r="AD36" i="16" s="1"/>
  <c r="K16" i="16"/>
  <c r="AH9" i="16"/>
  <c r="AE9" i="16"/>
  <c r="Z12" i="16"/>
  <c r="AA12" i="16"/>
  <c r="Z57" i="16"/>
  <c r="Z13" i="16"/>
  <c r="AP8" i="16"/>
  <c r="AQ8" i="16" s="1"/>
  <c r="AR8" i="16" s="1"/>
  <c r="AS8" i="16" s="1"/>
  <c r="AF8" i="16" s="1"/>
  <c r="AG8" i="16" s="1"/>
  <c r="AJ8" i="16" s="1"/>
  <c r="Y57" i="16"/>
  <c r="AA57" i="16" s="1"/>
  <c r="Y13" i="16"/>
  <c r="U14" i="16"/>
  <c r="AI53" i="16"/>
  <c r="AF53" i="16"/>
  <c r="AD10" i="16"/>
  <c r="AB11" i="16"/>
  <c r="AC65" i="16"/>
  <c r="AD65" i="16" s="1"/>
  <c r="AI65" i="16" s="1"/>
  <c r="AD64" i="16"/>
  <c r="AI64" i="16" s="1"/>
  <c r="AA56" i="16"/>
  <c r="AP52" i="16"/>
  <c r="AQ52" i="16" s="1"/>
  <c r="AR52" i="16" s="1"/>
  <c r="AS52" i="16" s="1"/>
  <c r="AG52" i="16" s="1"/>
  <c r="AH52" i="16" s="1"/>
  <c r="AK52" i="16" s="1"/>
  <c r="AL52" i="16" s="1"/>
  <c r="N16" i="16"/>
  <c r="S15" i="16"/>
  <c r="AD54" i="16"/>
  <c r="AB55" i="16"/>
  <c r="AC64" i="1"/>
  <c r="AD63" i="1"/>
  <c r="AI56" i="1"/>
  <c r="AI62" i="1"/>
  <c r="AD57" i="1"/>
  <c r="AB58" i="1"/>
  <c r="AD58" i="1" s="1"/>
  <c r="AJ34" i="16" l="1"/>
  <c r="AI34" i="16"/>
  <c r="AR34" i="16" s="1"/>
  <c r="Y34" i="16"/>
  <c r="V13" i="16"/>
  <c r="V14" i="16" s="1"/>
  <c r="Y35" i="16"/>
  <c r="AJ35" i="16"/>
  <c r="AI35" i="16"/>
  <c r="AR35" i="16" s="1"/>
  <c r="AF39" i="16"/>
  <c r="Z14" i="16"/>
  <c r="Z58" i="16"/>
  <c r="AH10" i="16"/>
  <c r="AE10" i="16"/>
  <c r="K17" i="16"/>
  <c r="R16" i="16"/>
  <c r="M16" i="16"/>
  <c r="O16" i="16" s="1"/>
  <c r="AD37" i="16" s="1"/>
  <c r="AH37" i="16" s="1"/>
  <c r="L16" i="16"/>
  <c r="Q16" i="16" s="1"/>
  <c r="P16" i="16"/>
  <c r="AD11" i="16"/>
  <c r="AB12" i="16"/>
  <c r="N17" i="16"/>
  <c r="Y58" i="16"/>
  <c r="AA58" i="16" s="1"/>
  <c r="U15" i="16"/>
  <c r="Y14" i="16"/>
  <c r="AD55" i="16"/>
  <c r="AB56" i="16"/>
  <c r="AP53" i="16"/>
  <c r="AQ53" i="16" s="1"/>
  <c r="AR53" i="16" s="1"/>
  <c r="AS53" i="16" s="1"/>
  <c r="AG53" i="16" s="1"/>
  <c r="AH53" i="16" s="1"/>
  <c r="AK53" i="16" s="1"/>
  <c r="AL53" i="16" s="1"/>
  <c r="AI54" i="16"/>
  <c r="AF54" i="16"/>
  <c r="AA13" i="16"/>
  <c r="AP9" i="16"/>
  <c r="AQ9" i="16" s="1"/>
  <c r="AR9" i="16" s="1"/>
  <c r="AS9" i="16" s="1"/>
  <c r="AF9" i="16" s="1"/>
  <c r="AG9" i="16" s="1"/>
  <c r="AJ9" i="16" s="1"/>
  <c r="AK8" i="16"/>
  <c r="AI57" i="1"/>
  <c r="AI63" i="1"/>
  <c r="AI58" i="1"/>
  <c r="AC65" i="1"/>
  <c r="AD65" i="1" s="1"/>
  <c r="AD64" i="1"/>
  <c r="V15" i="16" l="1"/>
  <c r="AJ36" i="16"/>
  <c r="AI36" i="16"/>
  <c r="AR36" i="16" s="1"/>
  <c r="Y36" i="16"/>
  <c r="AF40" i="16"/>
  <c r="AP54" i="16"/>
  <c r="AQ54" i="16" s="1"/>
  <c r="AR54" i="16" s="1"/>
  <c r="AS54" i="16" s="1"/>
  <c r="AG54" i="16" s="1"/>
  <c r="AH54" i="16" s="1"/>
  <c r="AK54" i="16" s="1"/>
  <c r="AL54" i="16" s="1"/>
  <c r="AB57" i="16"/>
  <c r="AD56" i="16"/>
  <c r="N18" i="16"/>
  <c r="AB13" i="16"/>
  <c r="AD12" i="16"/>
  <c r="Y59" i="16"/>
  <c r="U16" i="16"/>
  <c r="Y15" i="16"/>
  <c r="AP10" i="16"/>
  <c r="AQ10" i="16" s="1"/>
  <c r="AR10" i="16" s="1"/>
  <c r="AS10" i="16" s="1"/>
  <c r="AF10" i="16" s="1"/>
  <c r="AG10" i="16" s="1"/>
  <c r="AJ10" i="16" s="1"/>
  <c r="AI55" i="16"/>
  <c r="AF55" i="16"/>
  <c r="S16" i="16"/>
  <c r="Z59" i="16" s="1"/>
  <c r="AH11" i="16"/>
  <c r="AE11" i="16"/>
  <c r="Z15" i="16"/>
  <c r="AK9" i="16"/>
  <c r="AA14" i="16"/>
  <c r="K18" i="16"/>
  <c r="R17" i="16"/>
  <c r="P17" i="16"/>
  <c r="M17" i="16"/>
  <c r="O17" i="16" s="1"/>
  <c r="AD38" i="16" s="1"/>
  <c r="AH38" i="16" s="1"/>
  <c r="L17" i="16"/>
  <c r="Q17" i="16" s="1"/>
  <c r="AI64" i="1"/>
  <c r="AI65" i="1"/>
  <c r="V16" i="16" l="1"/>
  <c r="Y37" i="16"/>
  <c r="AB37" i="16" s="1"/>
  <c r="AJ37" i="16"/>
  <c r="AI37" i="16"/>
  <c r="AR37" i="16" s="1"/>
  <c r="AF41" i="16"/>
  <c r="AK10" i="16"/>
  <c r="N19" i="16"/>
  <c r="AB14" i="16"/>
  <c r="AD14" i="16" s="1"/>
  <c r="AH14" i="16" s="1"/>
  <c r="AD13" i="16"/>
  <c r="Y60" i="16"/>
  <c r="Y16" i="16"/>
  <c r="AA59" i="16"/>
  <c r="AF59" i="16" s="1"/>
  <c r="S17" i="16"/>
  <c r="Z60" i="16" s="1"/>
  <c r="AI56" i="16"/>
  <c r="AF56" i="16"/>
  <c r="P18" i="16"/>
  <c r="L18" i="16"/>
  <c r="Q18" i="16" s="1"/>
  <c r="K19" i="16"/>
  <c r="M18" i="16"/>
  <c r="O18" i="16" s="1"/>
  <c r="AD39" i="16" s="1"/>
  <c r="AH39" i="16" s="1"/>
  <c r="R18" i="16"/>
  <c r="AP11" i="16"/>
  <c r="AQ11" i="16" s="1"/>
  <c r="AR11" i="16" s="1"/>
  <c r="AS11" i="16" s="1"/>
  <c r="AF11" i="16" s="1"/>
  <c r="AG11" i="16" s="1"/>
  <c r="AJ11" i="16" s="1"/>
  <c r="AK11" i="16" s="1"/>
  <c r="AP55" i="16"/>
  <c r="AQ55" i="16" s="1"/>
  <c r="AR55" i="16" s="1"/>
  <c r="AS55" i="16" s="1"/>
  <c r="AG55" i="16" s="1"/>
  <c r="AH55" i="16" s="1"/>
  <c r="AK55" i="16" s="1"/>
  <c r="AL55" i="16" s="1"/>
  <c r="AA15" i="16"/>
  <c r="AE15" i="16" s="1"/>
  <c r="AH12" i="16"/>
  <c r="AE12" i="16"/>
  <c r="AB58" i="16"/>
  <c r="AD58" i="16" s="1"/>
  <c r="AD57" i="16"/>
  <c r="AK37" i="16" l="1"/>
  <c r="AN37" i="16"/>
  <c r="AM37" i="16" s="1"/>
  <c r="AF42" i="16"/>
  <c r="AE14" i="16"/>
  <c r="AP56" i="16"/>
  <c r="AQ56" i="16" s="1"/>
  <c r="AR56" i="16" s="1"/>
  <c r="AS56" i="16" s="1"/>
  <c r="AG56" i="16" s="1"/>
  <c r="AH56" i="16" s="1"/>
  <c r="AK56" i="16" s="1"/>
  <c r="AL56" i="16" s="1"/>
  <c r="AH13" i="16"/>
  <c r="AE13" i="16"/>
  <c r="AP14" i="16"/>
  <c r="Y61" i="16"/>
  <c r="Y17" i="16"/>
  <c r="U17" i="16"/>
  <c r="Z16" i="16"/>
  <c r="AP15" i="16"/>
  <c r="R19" i="16"/>
  <c r="K20" i="16"/>
  <c r="M19" i="16"/>
  <c r="O19" i="16" s="1"/>
  <c r="AD40" i="16" s="1"/>
  <c r="AH40" i="16" s="1"/>
  <c r="L19" i="16"/>
  <c r="Q19" i="16" s="1"/>
  <c r="P19" i="16"/>
  <c r="AA16" i="16"/>
  <c r="AE16" i="16" s="1"/>
  <c r="S18" i="16"/>
  <c r="Z61" i="16" s="1"/>
  <c r="AP12" i="16"/>
  <c r="AQ12" i="16" s="1"/>
  <c r="AR12" i="16" s="1"/>
  <c r="AS12" i="16" s="1"/>
  <c r="AF12" i="16" s="1"/>
  <c r="AG12" i="16" s="1"/>
  <c r="AJ12" i="16" s="1"/>
  <c r="AK12" i="16" s="1"/>
  <c r="AI57" i="16"/>
  <c r="AF57" i="16"/>
  <c r="AI58" i="16"/>
  <c r="AF58" i="16"/>
  <c r="AP59" i="16"/>
  <c r="AA60" i="16"/>
  <c r="AF60" i="16" s="1"/>
  <c r="S19" i="16"/>
  <c r="N20" i="16"/>
  <c r="E18" i="10"/>
  <c r="AU37" i="16" l="1"/>
  <c r="AQ37" i="16"/>
  <c r="V17" i="16"/>
  <c r="AJ38" i="16"/>
  <c r="AI38" i="16"/>
  <c r="AR38" i="16" s="1"/>
  <c r="Y38" i="16"/>
  <c r="AB38" i="16" s="1"/>
  <c r="AF43" i="16"/>
  <c r="Z17" i="16"/>
  <c r="AA17" i="16" s="1"/>
  <c r="AE17" i="16" s="1"/>
  <c r="U18" i="16"/>
  <c r="N21" i="16"/>
  <c r="AP58" i="16"/>
  <c r="P20" i="16"/>
  <c r="L20" i="16"/>
  <c r="Q20" i="16" s="1"/>
  <c r="R20" i="16"/>
  <c r="K21" i="16"/>
  <c r="M20" i="16"/>
  <c r="O20" i="16" s="1"/>
  <c r="AD41" i="16" s="1"/>
  <c r="AH41" i="16" s="1"/>
  <c r="Z62" i="16"/>
  <c r="Z18" i="16"/>
  <c r="AP13" i="16"/>
  <c r="AQ13" i="16" s="1"/>
  <c r="AR13" i="16" s="1"/>
  <c r="AS13" i="16" s="1"/>
  <c r="AF13" i="16" s="1"/>
  <c r="AG13" i="16" s="1"/>
  <c r="AJ13" i="16" s="1"/>
  <c r="AK13" i="16" s="1"/>
  <c r="AP16" i="16"/>
  <c r="AP60" i="16"/>
  <c r="AP57" i="16"/>
  <c r="AQ57" i="16" s="1"/>
  <c r="AR57" i="16" s="1"/>
  <c r="AS57" i="16" s="1"/>
  <c r="AG57" i="16" s="1"/>
  <c r="AH57" i="16" s="1"/>
  <c r="AK57" i="16" s="1"/>
  <c r="AL57" i="16" s="1"/>
  <c r="U19" i="16"/>
  <c r="Y18" i="16"/>
  <c r="AA18" i="16" s="1"/>
  <c r="AE18" i="16" s="1"/>
  <c r="Y62" i="16"/>
  <c r="AA62" i="16" s="1"/>
  <c r="AF62" i="16" s="1"/>
  <c r="V18" i="16"/>
  <c r="V19" i="16" s="1"/>
  <c r="AA61" i="16"/>
  <c r="AF61" i="16" s="1"/>
  <c r="AN38" i="16" l="1"/>
  <c r="AM38" i="16" s="1"/>
  <c r="AK38" i="16"/>
  <c r="AJ40" i="16"/>
  <c r="AI40" i="16"/>
  <c r="AR40" i="16" s="1"/>
  <c r="Y40" i="16"/>
  <c r="AB40" i="16" s="1"/>
  <c r="Y39" i="16"/>
  <c r="AB39" i="16" s="1"/>
  <c r="AJ39" i="16"/>
  <c r="AI39" i="16"/>
  <c r="AR39" i="16" s="1"/>
  <c r="AP17" i="16"/>
  <c r="N22" i="16"/>
  <c r="AP61" i="16"/>
  <c r="R21" i="16"/>
  <c r="K22" i="16"/>
  <c r="M21" i="16"/>
  <c r="O21" i="16" s="1"/>
  <c r="AD42" i="16" s="1"/>
  <c r="AH42" i="16" s="1"/>
  <c r="P21" i="16"/>
  <c r="L21" i="16"/>
  <c r="Q21" i="16" s="1"/>
  <c r="AQ58" i="16"/>
  <c r="AQ14" i="16"/>
  <c r="AP18" i="16"/>
  <c r="Y63" i="16"/>
  <c r="U20" i="16"/>
  <c r="Y19" i="16"/>
  <c r="AP62" i="16"/>
  <c r="Z63" i="16"/>
  <c r="Z19" i="16"/>
  <c r="S20" i="16"/>
  <c r="E20" i="14"/>
  <c r="E18" i="14"/>
  <c r="M4" i="14"/>
  <c r="N4" i="14" s="1"/>
  <c r="M5" i="14"/>
  <c r="N5" i="14" s="1"/>
  <c r="M6" i="14"/>
  <c r="N6" i="14" s="1"/>
  <c r="M7" i="14"/>
  <c r="N7" i="14" s="1"/>
  <c r="M8" i="14"/>
  <c r="N8" i="14" s="1"/>
  <c r="M9" i="14"/>
  <c r="N9" i="14" s="1"/>
  <c r="M10" i="14"/>
  <c r="N10" i="14" s="1"/>
  <c r="M3" i="14"/>
  <c r="N3" i="14" s="1"/>
  <c r="K4" i="14"/>
  <c r="K5" i="14"/>
  <c r="K6" i="14"/>
  <c r="K7" i="14"/>
  <c r="K8" i="14"/>
  <c r="K9" i="14"/>
  <c r="K10" i="14"/>
  <c r="K3" i="14"/>
  <c r="AK39" i="16" l="1"/>
  <c r="AN39" i="16"/>
  <c r="AM39" i="16" s="1"/>
  <c r="V20" i="16"/>
  <c r="Y41" i="16"/>
  <c r="AB41" i="16" s="1"/>
  <c r="AJ41" i="16"/>
  <c r="AI41" i="16"/>
  <c r="AR41" i="16" s="1"/>
  <c r="AN40" i="16"/>
  <c r="AM40" i="16" s="1"/>
  <c r="AK40" i="16"/>
  <c r="AU38" i="16"/>
  <c r="AQ38" i="16"/>
  <c r="AR14" i="16"/>
  <c r="AS14" i="16" s="1"/>
  <c r="AF14" i="16" s="1"/>
  <c r="AG14" i="16" s="1"/>
  <c r="AJ14" i="16" s="1"/>
  <c r="AK14" i="16" s="1"/>
  <c r="AQ15" i="16"/>
  <c r="AA63" i="16"/>
  <c r="AF63" i="16" s="1"/>
  <c r="AR58" i="16"/>
  <c r="AS58" i="16" s="1"/>
  <c r="AG58" i="16" s="1"/>
  <c r="AH58" i="16" s="1"/>
  <c r="AK58" i="16" s="1"/>
  <c r="AL58" i="16" s="1"/>
  <c r="AQ59" i="16"/>
  <c r="P22" i="16"/>
  <c r="L22" i="16"/>
  <c r="Q22" i="16" s="1"/>
  <c r="M22" i="16"/>
  <c r="O22" i="16" s="1"/>
  <c r="AD43" i="16" s="1"/>
  <c r="AH43" i="16" s="1"/>
  <c r="R22" i="16"/>
  <c r="S21" i="16"/>
  <c r="Z64" i="16" s="1"/>
  <c r="Z20" i="16"/>
  <c r="Y64" i="16"/>
  <c r="U21" i="16"/>
  <c r="Y20" i="16"/>
  <c r="AA19" i="16"/>
  <c r="AE19" i="16" s="1"/>
  <c r="E17" i="14"/>
  <c r="C13" i="14"/>
  <c r="E16" i="14" s="1"/>
  <c r="AK41" i="16" l="1"/>
  <c r="AN41" i="16"/>
  <c r="AM41" i="16" s="1"/>
  <c r="AQ39" i="16"/>
  <c r="AU39" i="16"/>
  <c r="V21" i="16"/>
  <c r="AJ42" i="16"/>
  <c r="AI42" i="16"/>
  <c r="AR42" i="16" s="1"/>
  <c r="Y42" i="16"/>
  <c r="AB42" i="16" s="1"/>
  <c r="AU40" i="16"/>
  <c r="AQ40" i="16"/>
  <c r="AA64" i="16"/>
  <c r="AF64" i="16" s="1"/>
  <c r="Z65" i="16"/>
  <c r="Z21" i="16"/>
  <c r="AR15" i="16"/>
  <c r="AS15" i="16" s="1"/>
  <c r="AF15" i="16" s="1"/>
  <c r="AG15" i="16" s="1"/>
  <c r="AJ15" i="16" s="1"/>
  <c r="AK15" i="16" s="1"/>
  <c r="AQ16" i="16"/>
  <c r="Y65" i="16"/>
  <c r="U22" i="16"/>
  <c r="Y21" i="16"/>
  <c r="AA21" i="16" s="1"/>
  <c r="AE21" i="16" s="1"/>
  <c r="AP19" i="16"/>
  <c r="AP63" i="16"/>
  <c r="AA20" i="16"/>
  <c r="AE20" i="16" s="1"/>
  <c r="S22" i="16"/>
  <c r="AR59" i="16"/>
  <c r="AS59" i="16" s="1"/>
  <c r="AG59" i="16" s="1"/>
  <c r="AH59" i="16" s="1"/>
  <c r="AK59" i="16" s="1"/>
  <c r="AL59" i="16" s="1"/>
  <c r="AQ60" i="16"/>
  <c r="AN42" i="16" l="1"/>
  <c r="AM42" i="16" s="1"/>
  <c r="AK42" i="16"/>
  <c r="AQ41" i="16"/>
  <c r="AU41" i="16"/>
  <c r="V22" i="16"/>
  <c r="Y43" i="16"/>
  <c r="AB43" i="16" s="1"/>
  <c r="AJ43" i="16"/>
  <c r="AI43" i="16"/>
  <c r="AR43" i="16" s="1"/>
  <c r="AR60" i="16"/>
  <c r="AS60" i="16" s="1"/>
  <c r="AG60" i="16" s="1"/>
  <c r="AH60" i="16" s="1"/>
  <c r="AK60" i="16" s="1"/>
  <c r="AL60" i="16" s="1"/>
  <c r="AQ61" i="16"/>
  <c r="AP20" i="16"/>
  <c r="AR16" i="16"/>
  <c r="AS16" i="16" s="1"/>
  <c r="AF16" i="16" s="1"/>
  <c r="AG16" i="16" s="1"/>
  <c r="AJ16" i="16" s="1"/>
  <c r="AK16" i="16" s="1"/>
  <c r="AQ17" i="16"/>
  <c r="AP21" i="16"/>
  <c r="AP64" i="16"/>
  <c r="AA65" i="16"/>
  <c r="AF65" i="16" s="1"/>
  <c r="E17" i="10"/>
  <c r="AK43" i="16" l="1"/>
  <c r="AN43" i="16"/>
  <c r="AM43" i="16" s="1"/>
  <c r="AQ42" i="16"/>
  <c r="AU42" i="16"/>
  <c r="AR61" i="16"/>
  <c r="AS61" i="16" s="1"/>
  <c r="AG61" i="16" s="1"/>
  <c r="AH61" i="16" s="1"/>
  <c r="AK61" i="16" s="1"/>
  <c r="AL61" i="16" s="1"/>
  <c r="AQ62" i="16"/>
  <c r="AP65" i="16"/>
  <c r="AR17" i="16"/>
  <c r="AS17" i="16" s="1"/>
  <c r="AF17" i="16" s="1"/>
  <c r="AG17" i="16" s="1"/>
  <c r="AJ17" i="16" s="1"/>
  <c r="AK17" i="16" s="1"/>
  <c r="AQ18" i="16"/>
  <c r="E18" i="9"/>
  <c r="E17" i="9"/>
  <c r="E18" i="1"/>
  <c r="AQ43" i="16" l="1"/>
  <c r="AU43" i="16"/>
  <c r="AR18" i="16"/>
  <c r="AS18" i="16" s="1"/>
  <c r="AF18" i="16" s="1"/>
  <c r="AG18" i="16" s="1"/>
  <c r="AJ18" i="16" s="1"/>
  <c r="AK18" i="16" s="1"/>
  <c r="AQ19" i="16"/>
  <c r="AR62" i="16"/>
  <c r="AS62" i="16" s="1"/>
  <c r="AG62" i="16" s="1"/>
  <c r="AH62" i="16" s="1"/>
  <c r="AK62" i="16" s="1"/>
  <c r="AL62" i="16" s="1"/>
  <c r="AQ63" i="16"/>
  <c r="E8" i="1"/>
  <c r="AR63" i="16" l="1"/>
  <c r="AS63" i="16" s="1"/>
  <c r="AG63" i="16" s="1"/>
  <c r="AH63" i="16" s="1"/>
  <c r="AK63" i="16" s="1"/>
  <c r="AL63" i="16" s="1"/>
  <c r="AQ64" i="16"/>
  <c r="AR19" i="16"/>
  <c r="AS19" i="16" s="1"/>
  <c r="AF19" i="16" s="1"/>
  <c r="AG19" i="16" s="1"/>
  <c r="AJ19" i="16" s="1"/>
  <c r="AK19" i="16" s="1"/>
  <c r="AQ20" i="16"/>
  <c r="E8" i="10"/>
  <c r="G42" i="10"/>
  <c r="G41" i="10"/>
  <c r="G40" i="10"/>
  <c r="G39" i="10"/>
  <c r="G38" i="10"/>
  <c r="G37" i="10"/>
  <c r="G36" i="10"/>
  <c r="G35" i="10"/>
  <c r="G34" i="10"/>
  <c r="G33" i="10"/>
  <c r="O32" i="10"/>
  <c r="O36" i="10" s="1"/>
  <c r="O34" i="10" s="1"/>
  <c r="C24" i="10" s="1"/>
  <c r="M32" i="10"/>
  <c r="M36" i="10" s="1"/>
  <c r="M34" i="10" s="1"/>
  <c r="C23" i="10" s="1"/>
  <c r="K32" i="10"/>
  <c r="K36" i="10" s="1"/>
  <c r="K34" i="10" s="1"/>
  <c r="C25" i="10" s="1"/>
  <c r="G32" i="10"/>
  <c r="G31" i="10"/>
  <c r="B31" i="10"/>
  <c r="G30" i="10"/>
  <c r="G29" i="10"/>
  <c r="G28" i="10"/>
  <c r="G27" i="10"/>
  <c r="G26" i="10"/>
  <c r="N6" i="10"/>
  <c r="N7" i="10" s="1"/>
  <c r="K6" i="10"/>
  <c r="E8" i="9"/>
  <c r="E22" i="9"/>
  <c r="D21" i="9"/>
  <c r="D23" i="9" s="1"/>
  <c r="G44" i="9"/>
  <c r="G43" i="9"/>
  <c r="G42" i="9"/>
  <c r="G41" i="9"/>
  <c r="G40" i="9"/>
  <c r="G39" i="9"/>
  <c r="G38" i="9"/>
  <c r="G37" i="9"/>
  <c r="G36" i="9"/>
  <c r="G35" i="9"/>
  <c r="O34" i="9"/>
  <c r="O38" i="9" s="1"/>
  <c r="O36" i="9" s="1"/>
  <c r="C28" i="9" s="1"/>
  <c r="M34" i="9"/>
  <c r="M38" i="9" s="1"/>
  <c r="M36" i="9" s="1"/>
  <c r="C27" i="9" s="1"/>
  <c r="K34" i="9"/>
  <c r="K38" i="9" s="1"/>
  <c r="K36" i="9" s="1"/>
  <c r="C29" i="9" s="1"/>
  <c r="U5" i="9" s="1"/>
  <c r="G34" i="9"/>
  <c r="G33" i="9"/>
  <c r="G32" i="9"/>
  <c r="G31" i="9"/>
  <c r="G30" i="9"/>
  <c r="G29" i="9"/>
  <c r="G28" i="9"/>
  <c r="N6" i="9"/>
  <c r="N7" i="9" s="1"/>
  <c r="AR20" i="16" l="1"/>
  <c r="AS20" i="16" s="1"/>
  <c r="AF20" i="16" s="1"/>
  <c r="AG20" i="16" s="1"/>
  <c r="AJ20" i="16" s="1"/>
  <c r="AK20" i="16" s="1"/>
  <c r="AQ21" i="16"/>
  <c r="AR21" i="16" s="1"/>
  <c r="AS21" i="16" s="1"/>
  <c r="AF21" i="16" s="1"/>
  <c r="AG21" i="16" s="1"/>
  <c r="AJ21" i="16" s="1"/>
  <c r="AR64" i="16"/>
  <c r="AS64" i="16" s="1"/>
  <c r="AG64" i="16" s="1"/>
  <c r="AH64" i="16" s="1"/>
  <c r="AK64" i="16" s="1"/>
  <c r="AL64" i="16" s="1"/>
  <c r="AQ65" i="16"/>
  <c r="AR65" i="16" s="1"/>
  <c r="AS65" i="16" s="1"/>
  <c r="AG65" i="16" s="1"/>
  <c r="AH65" i="16" s="1"/>
  <c r="AK65" i="16" s="1"/>
  <c r="M6" i="10"/>
  <c r="P6" i="10"/>
  <c r="L6" i="10"/>
  <c r="S6" i="10" s="1"/>
  <c r="H28" i="10"/>
  <c r="H30" i="10"/>
  <c r="T38" i="10"/>
  <c r="H34" i="10"/>
  <c r="H36" i="10"/>
  <c r="H38" i="10"/>
  <c r="H40" i="10"/>
  <c r="H42" i="10"/>
  <c r="H31" i="10"/>
  <c r="K7" i="10"/>
  <c r="R6" i="10"/>
  <c r="H27" i="10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H29" i="10"/>
  <c r="H32" i="10"/>
  <c r="H33" i="10"/>
  <c r="H35" i="10"/>
  <c r="H37" i="10"/>
  <c r="H39" i="10"/>
  <c r="H41" i="10"/>
  <c r="V5" i="9"/>
  <c r="O6" i="10"/>
  <c r="E21" i="9"/>
  <c r="Q6" i="10"/>
  <c r="N8" i="10"/>
  <c r="M7" i="10"/>
  <c r="N8" i="9"/>
  <c r="W5" i="9" l="1"/>
  <c r="D44" i="12"/>
  <c r="AN27" i="9"/>
  <c r="AO46" i="9" s="1"/>
  <c r="AD27" i="9"/>
  <c r="D76" i="12"/>
  <c r="D12" i="12"/>
  <c r="E12" i="12" s="1"/>
  <c r="AJ4" i="9"/>
  <c r="AK4" i="9" s="1"/>
  <c r="AL65" i="16"/>
  <c r="AK21" i="16"/>
  <c r="AJ22" i="16"/>
  <c r="O7" i="10"/>
  <c r="Z5" i="10"/>
  <c r="U6" i="10"/>
  <c r="Y5" i="10"/>
  <c r="AA5" i="10" s="1"/>
  <c r="R7" i="10"/>
  <c r="P7" i="10"/>
  <c r="Y6" i="10" s="1"/>
  <c r="L7" i="10"/>
  <c r="S7" i="10" s="1"/>
  <c r="K8" i="10"/>
  <c r="P8" i="10" s="1"/>
  <c r="E23" i="9"/>
  <c r="C23" i="9"/>
  <c r="E6" i="9" s="1"/>
  <c r="K6" i="9" s="1"/>
  <c r="N9" i="10"/>
  <c r="N9" i="9"/>
  <c r="T39" i="10" l="1"/>
  <c r="V29" i="10"/>
  <c r="S6" i="9"/>
  <c r="P6" i="9"/>
  <c r="K3" i="12"/>
  <c r="I37" i="12"/>
  <c r="E44" i="12"/>
  <c r="F44" i="12" s="1"/>
  <c r="K35" i="12"/>
  <c r="I5" i="12"/>
  <c r="F9" i="12" s="1"/>
  <c r="AL4" i="9"/>
  <c r="I69" i="12"/>
  <c r="E76" i="12"/>
  <c r="F76" i="12" s="1"/>
  <c r="K67" i="12"/>
  <c r="T30" i="16"/>
  <c r="M8" i="10"/>
  <c r="O8" i="10" s="1"/>
  <c r="Q7" i="10"/>
  <c r="K9" i="10"/>
  <c r="P9" i="10" s="1"/>
  <c r="R8" i="10"/>
  <c r="L8" i="10"/>
  <c r="F12" i="12"/>
  <c r="M6" i="9"/>
  <c r="O6" i="9" s="1"/>
  <c r="L6" i="9"/>
  <c r="K7" i="9"/>
  <c r="N10" i="10"/>
  <c r="N10" i="9"/>
  <c r="J12" i="12" l="1"/>
  <c r="AE28" i="9"/>
  <c r="F8" i="12"/>
  <c r="S7" i="9"/>
  <c r="P7" i="9"/>
  <c r="F73" i="12"/>
  <c r="F74" i="12"/>
  <c r="F72" i="12"/>
  <c r="J76" i="12"/>
  <c r="F10" i="12"/>
  <c r="F40" i="12"/>
  <c r="F42" i="12"/>
  <c r="F41" i="12"/>
  <c r="J44" i="12"/>
  <c r="Z5" i="9"/>
  <c r="Z6" i="10"/>
  <c r="AA6" i="10" s="1"/>
  <c r="U7" i="10"/>
  <c r="Y7" i="10"/>
  <c r="Q8" i="10"/>
  <c r="S8" i="10"/>
  <c r="R9" i="10"/>
  <c r="L9" i="10"/>
  <c r="K10" i="10"/>
  <c r="P10" i="10" s="1"/>
  <c r="M9" i="10"/>
  <c r="O9" i="10" s="1"/>
  <c r="G13" i="12"/>
  <c r="I13" i="12"/>
  <c r="R6" i="9"/>
  <c r="T6" i="9"/>
  <c r="K8" i="9"/>
  <c r="M7" i="9"/>
  <c r="O7" i="9" s="1"/>
  <c r="L7" i="9"/>
  <c r="N11" i="10"/>
  <c r="N11" i="9"/>
  <c r="O32" i="1"/>
  <c r="O36" i="1" s="1"/>
  <c r="O34" i="1" s="1"/>
  <c r="C24" i="1" s="1"/>
  <c r="M32" i="1"/>
  <c r="M36" i="1" s="1"/>
  <c r="M34" i="1" s="1"/>
  <c r="C23" i="1" s="1"/>
  <c r="K32" i="1"/>
  <c r="K36" i="1" s="1"/>
  <c r="K34" i="1" s="1"/>
  <c r="C25" i="1" s="1"/>
  <c r="T5" i="1" s="1"/>
  <c r="U5" i="1" s="1"/>
  <c r="K12" i="12" l="1"/>
  <c r="AA5" i="9"/>
  <c r="S8" i="9"/>
  <c r="P8" i="9"/>
  <c r="AE29" i="9"/>
  <c r="K44" i="12"/>
  <c r="L44" i="12" s="1"/>
  <c r="C77" i="12"/>
  <c r="G45" i="12"/>
  <c r="I45" i="12"/>
  <c r="G77" i="12"/>
  <c r="I77" i="12"/>
  <c r="AB5" i="9"/>
  <c r="K76" i="12"/>
  <c r="C45" i="12"/>
  <c r="M12" i="12"/>
  <c r="L12" i="12"/>
  <c r="AB28" i="9"/>
  <c r="AD28" i="9" s="1"/>
  <c r="AI28" i="9" s="1"/>
  <c r="AA27" i="10"/>
  <c r="AA28" i="9"/>
  <c r="Z6" i="9"/>
  <c r="Z7" i="10"/>
  <c r="AA7" i="10"/>
  <c r="Y8" i="10"/>
  <c r="U8" i="10"/>
  <c r="V5" i="1"/>
  <c r="V51" i="1"/>
  <c r="V49" i="1"/>
  <c r="V47" i="1"/>
  <c r="V45" i="1"/>
  <c r="V42" i="9"/>
  <c r="V52" i="1"/>
  <c r="V50" i="1"/>
  <c r="V48" i="1"/>
  <c r="V46" i="1"/>
  <c r="S57" i="1" s="1"/>
  <c r="U57" i="1" s="1"/>
  <c r="V44" i="1"/>
  <c r="AI4" i="1"/>
  <c r="AJ4" i="1" s="1"/>
  <c r="Q9" i="10"/>
  <c r="S9" i="10"/>
  <c r="R10" i="10"/>
  <c r="K11" i="10"/>
  <c r="P11" i="10" s="1"/>
  <c r="M10" i="10"/>
  <c r="O10" i="10" s="1"/>
  <c r="L10" i="10"/>
  <c r="I14" i="12"/>
  <c r="H13" i="12"/>
  <c r="J13" i="12" s="1"/>
  <c r="T7" i="9"/>
  <c r="R7" i="9"/>
  <c r="M8" i="9"/>
  <c r="O8" i="9" s="1"/>
  <c r="AE30" i="9" s="1"/>
  <c r="K9" i="9"/>
  <c r="L8" i="9"/>
  <c r="N12" i="10"/>
  <c r="N12" i="9"/>
  <c r="AJ28" i="9" l="1"/>
  <c r="W6" i="9"/>
  <c r="AK28" i="9"/>
  <c r="C13" i="12"/>
  <c r="Z28" i="9"/>
  <c r="AC28" i="9" s="1"/>
  <c r="AL28" i="9" s="1"/>
  <c r="M44" i="12"/>
  <c r="S9" i="9"/>
  <c r="P9" i="9"/>
  <c r="AA6" i="9"/>
  <c r="Z29" i="9"/>
  <c r="AB6" i="9"/>
  <c r="M76" i="12"/>
  <c r="L76" i="12"/>
  <c r="H77" i="12"/>
  <c r="J77" i="12" s="1"/>
  <c r="G78" i="12" s="1"/>
  <c r="I78" i="12"/>
  <c r="I79" i="12" s="1"/>
  <c r="H45" i="12"/>
  <c r="J45" i="12" s="1"/>
  <c r="G46" i="12" s="1"/>
  <c r="I46" i="12"/>
  <c r="I47" i="12" s="1"/>
  <c r="C78" i="12"/>
  <c r="F78" i="12" s="1"/>
  <c r="F45" i="12"/>
  <c r="M45" i="12" s="1"/>
  <c r="E45" i="12"/>
  <c r="F77" i="12"/>
  <c r="M77" i="12" s="1"/>
  <c r="E77" i="12"/>
  <c r="AA29" i="9"/>
  <c r="Z7" i="9"/>
  <c r="Z8" i="10"/>
  <c r="AA8" i="10" s="1"/>
  <c r="U9" i="10"/>
  <c r="Y9" i="10"/>
  <c r="I15" i="12"/>
  <c r="AK4" i="1"/>
  <c r="AB27" i="1"/>
  <c r="AB5" i="1"/>
  <c r="W47" i="9"/>
  <c r="W45" i="9"/>
  <c r="W50" i="9"/>
  <c r="W46" i="9"/>
  <c r="W53" i="9"/>
  <c r="W49" i="9"/>
  <c r="W52" i="9"/>
  <c r="W48" i="9"/>
  <c r="V43" i="9"/>
  <c r="W51" i="9"/>
  <c r="V53" i="1"/>
  <c r="S58" i="1"/>
  <c r="U58" i="1" s="1"/>
  <c r="Q10" i="10"/>
  <c r="S10" i="10"/>
  <c r="R11" i="10"/>
  <c r="K12" i="10"/>
  <c r="P12" i="10" s="1"/>
  <c r="M11" i="10"/>
  <c r="O11" i="10" s="1"/>
  <c r="L11" i="10"/>
  <c r="G14" i="12"/>
  <c r="AA28" i="10" s="1"/>
  <c r="AC28" i="10" s="1"/>
  <c r="AH28" i="10" s="1"/>
  <c r="R8" i="9"/>
  <c r="T8" i="9"/>
  <c r="L9" i="9"/>
  <c r="K10" i="9"/>
  <c r="M9" i="9"/>
  <c r="O9" i="9" s="1"/>
  <c r="N13" i="10"/>
  <c r="N13" i="9"/>
  <c r="C46" i="12" l="1"/>
  <c r="F46" i="12" s="1"/>
  <c r="M46" i="12" s="1"/>
  <c r="AE31" i="9"/>
  <c r="AA7" i="9"/>
  <c r="AB7" i="9" s="1"/>
  <c r="AJ29" i="9"/>
  <c r="W7" i="9"/>
  <c r="S10" i="9"/>
  <c r="P10" i="9"/>
  <c r="E78" i="12"/>
  <c r="AK29" i="9"/>
  <c r="C14" i="12"/>
  <c r="AK30" i="9"/>
  <c r="I48" i="12"/>
  <c r="I80" i="12"/>
  <c r="M78" i="12"/>
  <c r="H46" i="12"/>
  <c r="J46" i="12" s="1"/>
  <c r="G47" i="12" s="1"/>
  <c r="H47" i="12" s="1"/>
  <c r="J47" i="12" s="1"/>
  <c r="G48" i="12" s="1"/>
  <c r="H78" i="12"/>
  <c r="J78" i="12" s="1"/>
  <c r="T62" i="9"/>
  <c r="E46" i="12"/>
  <c r="C47" i="12"/>
  <c r="Z30" i="9"/>
  <c r="L77" i="12"/>
  <c r="S12" i="12" s="1"/>
  <c r="Z13" i="19" s="1"/>
  <c r="X42" i="19" s="1"/>
  <c r="L45" i="12"/>
  <c r="R12" i="12" s="1"/>
  <c r="AA30" i="9"/>
  <c r="H14" i="12"/>
  <c r="J14" i="12" s="1"/>
  <c r="G15" i="12" s="1"/>
  <c r="AA29" i="10" s="1"/>
  <c r="AC29" i="10" s="1"/>
  <c r="AH29" i="10" s="1"/>
  <c r="AB29" i="9"/>
  <c r="AD29" i="9" s="1"/>
  <c r="AI29" i="9" s="1"/>
  <c r="Z8" i="9"/>
  <c r="Z9" i="10"/>
  <c r="AA9" i="10"/>
  <c r="U10" i="10"/>
  <c r="AP27" i="10"/>
  <c r="AQ27" i="10" s="1"/>
  <c r="AR27" i="10" s="1"/>
  <c r="AS27" i="10" s="1"/>
  <c r="Y10" i="10"/>
  <c r="I16" i="12"/>
  <c r="W57" i="9"/>
  <c r="W58" i="9"/>
  <c r="W56" i="9"/>
  <c r="T64" i="9" s="1"/>
  <c r="V62" i="9"/>
  <c r="AB28" i="1"/>
  <c r="AC27" i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W54" i="9"/>
  <c r="V64" i="9"/>
  <c r="AB6" i="1"/>
  <c r="AD5" i="1"/>
  <c r="AH5" i="1" s="1"/>
  <c r="K3" i="11"/>
  <c r="E12" i="11"/>
  <c r="F12" i="11" s="1"/>
  <c r="I5" i="11"/>
  <c r="Q11" i="10"/>
  <c r="S11" i="10"/>
  <c r="U11" i="10" s="1"/>
  <c r="R12" i="10"/>
  <c r="M12" i="10"/>
  <c r="O12" i="10" s="1"/>
  <c r="L12" i="10"/>
  <c r="K13" i="10"/>
  <c r="P13" i="10" s="1"/>
  <c r="K11" i="9"/>
  <c r="M10" i="9"/>
  <c r="O10" i="9" s="1"/>
  <c r="AE32" i="9" s="1"/>
  <c r="L10" i="9"/>
  <c r="R9" i="9"/>
  <c r="T9" i="9"/>
  <c r="N14" i="10"/>
  <c r="N14" i="9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6" i="1"/>
  <c r="F9" i="11" l="1"/>
  <c r="F8" i="11"/>
  <c r="F10" i="11"/>
  <c r="C79" i="12"/>
  <c r="E79" i="12" s="1"/>
  <c r="AA8" i="9"/>
  <c r="C15" i="12"/>
  <c r="AJ30" i="9"/>
  <c r="L46" i="12"/>
  <c r="S11" i="9"/>
  <c r="P11" i="9"/>
  <c r="AB8" i="9"/>
  <c r="G79" i="12"/>
  <c r="H79" i="12" s="1"/>
  <c r="J79" i="12" s="1"/>
  <c r="G80" i="12" s="1"/>
  <c r="H80" i="12" s="1"/>
  <c r="J80" i="12" s="1"/>
  <c r="G81" i="12" s="1"/>
  <c r="C80" i="12"/>
  <c r="I81" i="12"/>
  <c r="I49" i="12"/>
  <c r="H48" i="12"/>
  <c r="J48" i="12" s="1"/>
  <c r="G49" i="12" s="1"/>
  <c r="T63" i="9"/>
  <c r="V63" i="9" s="1"/>
  <c r="L78" i="12"/>
  <c r="Z31" i="9"/>
  <c r="F79" i="12"/>
  <c r="M79" i="12" s="1"/>
  <c r="F47" i="12"/>
  <c r="M47" i="12" s="1"/>
  <c r="E47" i="12"/>
  <c r="AC29" i="9"/>
  <c r="AL29" i="9" s="1"/>
  <c r="AA31" i="9"/>
  <c r="AF29" i="9"/>
  <c r="AF30" i="9" s="1"/>
  <c r="H15" i="12"/>
  <c r="J15" i="12" s="1"/>
  <c r="G16" i="12" s="1"/>
  <c r="H16" i="12" s="1"/>
  <c r="J16" i="12" s="1"/>
  <c r="G17" i="12" s="1"/>
  <c r="AB30" i="9"/>
  <c r="AD30" i="9" s="1"/>
  <c r="AI30" i="9" s="1"/>
  <c r="Z9" i="9"/>
  <c r="AP28" i="10"/>
  <c r="AQ28" i="10" s="1"/>
  <c r="AR28" i="10" s="1"/>
  <c r="AS28" i="10" s="1"/>
  <c r="Z10" i="10"/>
  <c r="AA10" i="10"/>
  <c r="Y11" i="10"/>
  <c r="AD5" i="9"/>
  <c r="AD6" i="9" s="1"/>
  <c r="AD7" i="9" s="1"/>
  <c r="AD8" i="9" s="1"/>
  <c r="AD9" i="9" s="1"/>
  <c r="AD10" i="9" s="1"/>
  <c r="AD11" i="9" s="1"/>
  <c r="AD12" i="9" s="1"/>
  <c r="AD13" i="9" s="1"/>
  <c r="AD14" i="9" s="1"/>
  <c r="AD15" i="9" s="1"/>
  <c r="AD16" i="9" s="1"/>
  <c r="AG28" i="9"/>
  <c r="AG29" i="9" s="1"/>
  <c r="AG30" i="9" s="1"/>
  <c r="AG31" i="9" s="1"/>
  <c r="AG32" i="9" s="1"/>
  <c r="AG33" i="9" s="1"/>
  <c r="I17" i="12"/>
  <c r="AC16" i="1"/>
  <c r="AD15" i="1"/>
  <c r="AH15" i="1" s="1"/>
  <c r="J12" i="11"/>
  <c r="AB7" i="1"/>
  <c r="AD6" i="1"/>
  <c r="AH6" i="1" s="1"/>
  <c r="AD37" i="1"/>
  <c r="AI37" i="1" s="1"/>
  <c r="AC38" i="1"/>
  <c r="AD27" i="1"/>
  <c r="AI27" i="1" s="1"/>
  <c r="AC6" i="9"/>
  <c r="AE15" i="9"/>
  <c r="AD28" i="1"/>
  <c r="AI28" i="1" s="1"/>
  <c r="AB29" i="1"/>
  <c r="W59" i="9"/>
  <c r="W8" i="9"/>
  <c r="U36" i="9" s="1"/>
  <c r="R13" i="10"/>
  <c r="K14" i="10"/>
  <c r="P14" i="10" s="1"/>
  <c r="M13" i="10"/>
  <c r="O13" i="10" s="1"/>
  <c r="L13" i="10"/>
  <c r="Q12" i="10"/>
  <c r="S12" i="10"/>
  <c r="R10" i="9"/>
  <c r="T10" i="9"/>
  <c r="L11" i="9"/>
  <c r="K12" i="9"/>
  <c r="M11" i="9"/>
  <c r="O11" i="9" s="1"/>
  <c r="N15" i="10"/>
  <c r="N15" i="9"/>
  <c r="K12" i="11" l="1"/>
  <c r="I13" i="11"/>
  <c r="G13" i="11"/>
  <c r="AA27" i="16" s="1"/>
  <c r="AC27" i="16" s="1"/>
  <c r="AH27" i="16" s="1"/>
  <c r="AK31" i="9"/>
  <c r="C49" i="12"/>
  <c r="C16" i="12"/>
  <c r="S12" i="9"/>
  <c r="P12" i="9"/>
  <c r="AE33" i="9"/>
  <c r="AA9" i="9"/>
  <c r="AB9" i="9" s="1"/>
  <c r="F80" i="12"/>
  <c r="M80" i="12" s="1"/>
  <c r="E80" i="12"/>
  <c r="C48" i="12"/>
  <c r="F48" i="12" s="1"/>
  <c r="M48" i="12" s="1"/>
  <c r="AJ31" i="9"/>
  <c r="I50" i="12"/>
  <c r="H49" i="12"/>
  <c r="J49" i="12" s="1"/>
  <c r="G50" i="12" s="1"/>
  <c r="I82" i="12"/>
  <c r="H81" i="12"/>
  <c r="J81" i="12" s="1"/>
  <c r="G82" i="12" s="1"/>
  <c r="AC5" i="9"/>
  <c r="AF28" i="9"/>
  <c r="AM28" i="9" s="1"/>
  <c r="AO47" i="9" s="1"/>
  <c r="E48" i="12"/>
  <c r="AK32" i="9"/>
  <c r="C17" i="12"/>
  <c r="AJ32" i="9"/>
  <c r="L47" i="12"/>
  <c r="L79" i="12"/>
  <c r="AB32" i="9"/>
  <c r="AD32" i="9" s="1"/>
  <c r="AI32" i="9" s="1"/>
  <c r="AA31" i="10"/>
  <c r="AC31" i="10" s="1"/>
  <c r="AH31" i="10" s="1"/>
  <c r="AA32" i="9"/>
  <c r="AB31" i="9"/>
  <c r="AD31" i="9" s="1"/>
  <c r="AI31" i="9" s="1"/>
  <c r="AA30" i="10"/>
  <c r="AC30" i="10" s="1"/>
  <c r="AH30" i="10" s="1"/>
  <c r="AC30" i="9"/>
  <c r="AL30" i="9" s="1"/>
  <c r="Z27" i="16"/>
  <c r="AG34" i="9"/>
  <c r="AM29" i="9"/>
  <c r="AO48" i="9" s="1"/>
  <c r="Z10" i="9"/>
  <c r="AO27" i="9"/>
  <c r="AP27" i="9" s="1"/>
  <c r="Z11" i="10"/>
  <c r="AA11" i="10" s="1"/>
  <c r="F13" i="13"/>
  <c r="U12" i="10"/>
  <c r="F14" i="13"/>
  <c r="AP29" i="10"/>
  <c r="AQ29" i="10" s="1"/>
  <c r="AR29" i="10" s="1"/>
  <c r="AS29" i="10" s="1"/>
  <c r="Y12" i="10"/>
  <c r="AE5" i="9"/>
  <c r="AF5" i="9" s="1"/>
  <c r="AQ5" i="9" s="1"/>
  <c r="AF31" i="9"/>
  <c r="AQ29" i="9"/>
  <c r="I18" i="12"/>
  <c r="H17" i="12"/>
  <c r="J17" i="12" s="1"/>
  <c r="G18" i="12" s="1"/>
  <c r="AB30" i="1"/>
  <c r="AD29" i="1"/>
  <c r="AI29" i="1" s="1"/>
  <c r="AD17" i="9"/>
  <c r="AE16" i="9"/>
  <c r="AD7" i="1"/>
  <c r="AH7" i="1" s="1"/>
  <c r="AB8" i="1"/>
  <c r="AI15" i="9"/>
  <c r="AC7" i="9"/>
  <c r="AE6" i="9"/>
  <c r="AC39" i="1"/>
  <c r="AD38" i="1"/>
  <c r="AI38" i="1" s="1"/>
  <c r="AC17" i="1"/>
  <c r="AD16" i="1"/>
  <c r="AH16" i="1" s="1"/>
  <c r="Q13" i="10"/>
  <c r="S13" i="10"/>
  <c r="R14" i="10"/>
  <c r="K15" i="10"/>
  <c r="P15" i="10" s="1"/>
  <c r="M14" i="10"/>
  <c r="O14" i="10" s="1"/>
  <c r="L14" i="10"/>
  <c r="W9" i="9"/>
  <c r="K13" i="9"/>
  <c r="M12" i="9"/>
  <c r="O12" i="9" s="1"/>
  <c r="L12" i="9"/>
  <c r="R11" i="9"/>
  <c r="T11" i="9"/>
  <c r="N16" i="10"/>
  <c r="N16" i="9"/>
  <c r="AB27" i="16" l="1"/>
  <c r="L12" i="11"/>
  <c r="M12" i="11"/>
  <c r="AJ26" i="1"/>
  <c r="L80" i="12"/>
  <c r="C81" i="12"/>
  <c r="E81" i="12" s="1"/>
  <c r="Z32" i="9"/>
  <c r="E49" i="12"/>
  <c r="S13" i="9"/>
  <c r="P13" i="9"/>
  <c r="AA10" i="9"/>
  <c r="AE34" i="9"/>
  <c r="C82" i="12"/>
  <c r="F82" i="12" s="1"/>
  <c r="M82" i="12" s="1"/>
  <c r="I83" i="12"/>
  <c r="H82" i="12"/>
  <c r="J82" i="12" s="1"/>
  <c r="G83" i="12" s="1"/>
  <c r="I51" i="12"/>
  <c r="H50" i="12"/>
  <c r="J50" i="12" s="1"/>
  <c r="G51" i="12" s="1"/>
  <c r="AI5" i="9"/>
  <c r="AB10" i="9"/>
  <c r="L48" i="12"/>
  <c r="C18" i="12"/>
  <c r="AK33" i="9"/>
  <c r="F49" i="12"/>
  <c r="M49" i="12" s="1"/>
  <c r="AN28" i="9"/>
  <c r="AN29" i="9" s="1"/>
  <c r="AM30" i="9"/>
  <c r="AO49" i="9" s="1"/>
  <c r="AB33" i="9"/>
  <c r="AD33" i="9" s="1"/>
  <c r="AI33" i="9" s="1"/>
  <c r="AA32" i="10"/>
  <c r="AC32" i="10" s="1"/>
  <c r="AH32" i="10" s="1"/>
  <c r="AC31" i="9"/>
  <c r="AL31" i="9" s="1"/>
  <c r="AA33" i="9"/>
  <c r="AC32" i="9"/>
  <c r="AL32" i="9" s="1"/>
  <c r="AN27" i="16"/>
  <c r="AK27" i="16"/>
  <c r="AG35" i="9"/>
  <c r="Z11" i="9"/>
  <c r="Z12" i="10"/>
  <c r="AA12" i="10" s="1"/>
  <c r="F16" i="13"/>
  <c r="Y13" i="10"/>
  <c r="Y14" i="10"/>
  <c r="AP30" i="10"/>
  <c r="AQ30" i="10" s="1"/>
  <c r="AR30" i="10" s="1"/>
  <c r="AS30" i="10" s="1"/>
  <c r="F15" i="13"/>
  <c r="U13" i="10"/>
  <c r="AQ28" i="9"/>
  <c r="AR28" i="9" s="1"/>
  <c r="AQ30" i="9"/>
  <c r="AF32" i="9"/>
  <c r="I19" i="12"/>
  <c r="H18" i="12"/>
  <c r="J18" i="12" s="1"/>
  <c r="G19" i="12" s="1"/>
  <c r="AA33" i="10" s="1"/>
  <c r="AC33" i="10" s="1"/>
  <c r="AH33" i="10" s="1"/>
  <c r="AF6" i="9"/>
  <c r="AQ6" i="9" s="1"/>
  <c r="AI6" i="9"/>
  <c r="AB9" i="1"/>
  <c r="AD8" i="1"/>
  <c r="AH8" i="1" s="1"/>
  <c r="AI16" i="9"/>
  <c r="AC18" i="1"/>
  <c r="AD17" i="1"/>
  <c r="AH17" i="1" s="1"/>
  <c r="AE27" i="1"/>
  <c r="H13" i="11"/>
  <c r="J13" i="11" s="1"/>
  <c r="G14" i="11" s="1"/>
  <c r="AA28" i="16" s="1"/>
  <c r="AC28" i="16" s="1"/>
  <c r="AH28" i="16" s="1"/>
  <c r="I14" i="11"/>
  <c r="AD39" i="1"/>
  <c r="AC40" i="1"/>
  <c r="AE7" i="9"/>
  <c r="AC8" i="9"/>
  <c r="AR5" i="9"/>
  <c r="AS5" i="9" s="1"/>
  <c r="AE17" i="9"/>
  <c r="AD18" i="9"/>
  <c r="AD30" i="1"/>
  <c r="AI30" i="1" s="1"/>
  <c r="AB31" i="1"/>
  <c r="Q14" i="10"/>
  <c r="S14" i="10"/>
  <c r="R15" i="10"/>
  <c r="L15" i="10"/>
  <c r="K16" i="10"/>
  <c r="P16" i="10" s="1"/>
  <c r="M15" i="10"/>
  <c r="O15" i="10" s="1"/>
  <c r="W10" i="9"/>
  <c r="W11" i="9" s="1"/>
  <c r="R12" i="9"/>
  <c r="T12" i="9"/>
  <c r="L13" i="9"/>
  <c r="K14" i="9"/>
  <c r="M13" i="9"/>
  <c r="O13" i="9" s="1"/>
  <c r="N17" i="10"/>
  <c r="N17" i="9"/>
  <c r="F81" i="12" l="1"/>
  <c r="M81" i="12" s="1"/>
  <c r="C50" i="12"/>
  <c r="Z33" i="9"/>
  <c r="AJ33" i="9"/>
  <c r="S14" i="9"/>
  <c r="P14" i="9"/>
  <c r="AE35" i="9"/>
  <c r="AA11" i="9"/>
  <c r="AB11" i="9" s="1"/>
  <c r="I52" i="12"/>
  <c r="H51" i="12"/>
  <c r="J51" i="12" s="1"/>
  <c r="G52" i="12" s="1"/>
  <c r="I84" i="12"/>
  <c r="H83" i="12"/>
  <c r="J83" i="12" s="1"/>
  <c r="G84" i="12" s="1"/>
  <c r="AC33" i="9"/>
  <c r="E82" i="12"/>
  <c r="C51" i="12"/>
  <c r="AK34" i="9"/>
  <c r="C83" i="12"/>
  <c r="AJ34" i="9"/>
  <c r="Z34" i="9"/>
  <c r="C19" i="12"/>
  <c r="L49" i="12"/>
  <c r="L81" i="12"/>
  <c r="L82" i="12" s="1"/>
  <c r="AM32" i="9"/>
  <c r="AO51" i="9" s="1"/>
  <c r="AM27" i="16"/>
  <c r="AN30" i="9"/>
  <c r="AM31" i="9"/>
  <c r="AO50" i="9" s="1"/>
  <c r="AA34" i="9"/>
  <c r="AO27" i="16"/>
  <c r="AU27" i="16"/>
  <c r="AV27" i="16" s="1"/>
  <c r="AW27" i="16" s="1"/>
  <c r="AX27" i="16" s="1"/>
  <c r="AQ27" i="16"/>
  <c r="Z28" i="16"/>
  <c r="AB28" i="16" s="1"/>
  <c r="AG36" i="9"/>
  <c r="H19" i="12"/>
  <c r="J19" i="12" s="1"/>
  <c r="G20" i="12" s="1"/>
  <c r="AB34" i="9"/>
  <c r="AD34" i="9" s="1"/>
  <c r="AI34" i="9" s="1"/>
  <c r="Z12" i="9"/>
  <c r="Y15" i="10"/>
  <c r="Z13" i="10"/>
  <c r="AP31" i="10"/>
  <c r="AQ31" i="10" s="1"/>
  <c r="AR31" i="10" s="1"/>
  <c r="AS31" i="10" s="1"/>
  <c r="F17" i="13"/>
  <c r="AA13" i="10"/>
  <c r="U14" i="10"/>
  <c r="AQ31" i="9"/>
  <c r="AS28" i="9"/>
  <c r="AR29" i="9"/>
  <c r="I20" i="12"/>
  <c r="AI17" i="9"/>
  <c r="AF7" i="9"/>
  <c r="AQ7" i="9" s="1"/>
  <c r="AI7" i="9"/>
  <c r="AI39" i="1"/>
  <c r="AB32" i="1"/>
  <c r="AD31" i="1"/>
  <c r="AI31" i="1" s="1"/>
  <c r="AE18" i="9"/>
  <c r="AD19" i="9"/>
  <c r="AT5" i="9"/>
  <c r="AG5" i="9" s="1"/>
  <c r="AH5" i="9" s="1"/>
  <c r="AK5" i="9" s="1"/>
  <c r="AE8" i="9"/>
  <c r="AC9" i="9"/>
  <c r="AC41" i="1"/>
  <c r="AD40" i="1"/>
  <c r="AE28" i="1"/>
  <c r="H14" i="11"/>
  <c r="J14" i="11" s="1"/>
  <c r="G15" i="11" s="1"/>
  <c r="AA29" i="16" s="1"/>
  <c r="AC29" i="16" s="1"/>
  <c r="AH29" i="16" s="1"/>
  <c r="I15" i="11"/>
  <c r="AC19" i="1"/>
  <c r="AD18" i="1"/>
  <c r="AH18" i="1" s="1"/>
  <c r="AB10" i="1"/>
  <c r="AD9" i="1"/>
  <c r="AH9" i="1" s="1"/>
  <c r="AR6" i="9"/>
  <c r="AS6" i="9" s="1"/>
  <c r="R16" i="10"/>
  <c r="M16" i="10"/>
  <c r="O16" i="10" s="1"/>
  <c r="L16" i="10"/>
  <c r="K17" i="10"/>
  <c r="P17" i="10" s="1"/>
  <c r="Q15" i="10"/>
  <c r="S15" i="10"/>
  <c r="R13" i="9"/>
  <c r="T13" i="9"/>
  <c r="M14" i="9"/>
  <c r="O14" i="9" s="1"/>
  <c r="L14" i="9"/>
  <c r="K15" i="9"/>
  <c r="W12" i="9"/>
  <c r="N18" i="10"/>
  <c r="N18" i="9"/>
  <c r="N6" i="1"/>
  <c r="K6" i="1"/>
  <c r="F50" i="12" l="1"/>
  <c r="M50" i="12" s="1"/>
  <c r="L50" i="12" s="1"/>
  <c r="E50" i="12"/>
  <c r="E51" i="12" s="1"/>
  <c r="E83" i="12"/>
  <c r="AM33" i="9"/>
  <c r="AO52" i="9" s="1"/>
  <c r="S15" i="9"/>
  <c r="P15" i="9"/>
  <c r="AE36" i="9"/>
  <c r="AA12" i="9"/>
  <c r="AB12" i="9" s="1"/>
  <c r="AL33" i="9"/>
  <c r="I85" i="12"/>
  <c r="H84" i="12"/>
  <c r="J84" i="12" s="1"/>
  <c r="G85" i="12" s="1"/>
  <c r="I53" i="12"/>
  <c r="H52" i="12"/>
  <c r="J52" i="12" s="1"/>
  <c r="G53" i="12" s="1"/>
  <c r="C84" i="12"/>
  <c r="F84" i="12" s="1"/>
  <c r="M84" i="12" s="1"/>
  <c r="Z35" i="9"/>
  <c r="AJ35" i="9"/>
  <c r="C20" i="12"/>
  <c r="C52" i="12"/>
  <c r="F52" i="12" s="1"/>
  <c r="M52" i="12" s="1"/>
  <c r="AK35" i="9"/>
  <c r="F83" i="12"/>
  <c r="M83" i="12" s="1"/>
  <c r="F51" i="12"/>
  <c r="M51" i="12" s="1"/>
  <c r="AN31" i="9"/>
  <c r="AN32" i="9" s="1"/>
  <c r="AN33" i="9" s="1"/>
  <c r="AB35" i="9"/>
  <c r="AD35" i="9" s="1"/>
  <c r="AI35" i="9" s="1"/>
  <c r="AA34" i="10"/>
  <c r="AC34" i="10" s="1"/>
  <c r="AH34" i="10" s="1"/>
  <c r="AC34" i="9"/>
  <c r="Z29" i="16"/>
  <c r="AB29" i="16" s="1"/>
  <c r="AN28" i="16"/>
  <c r="AK28" i="16"/>
  <c r="AP27" i="16"/>
  <c r="AG37" i="9"/>
  <c r="H20" i="12"/>
  <c r="J20" i="12" s="1"/>
  <c r="G21" i="12" s="1"/>
  <c r="AA35" i="9"/>
  <c r="Z13" i="9"/>
  <c r="Z14" i="10"/>
  <c r="AA14" i="10" s="1"/>
  <c r="F18" i="13"/>
  <c r="AP32" i="10"/>
  <c r="AQ32" i="10" s="1"/>
  <c r="AR32" i="10" s="1"/>
  <c r="AS32" i="10" s="1"/>
  <c r="U15" i="10"/>
  <c r="AQ32" i="9"/>
  <c r="AT28" i="9"/>
  <c r="AO28" i="9" s="1"/>
  <c r="F13" i="12"/>
  <c r="M13" i="12" s="1"/>
  <c r="E13" i="12"/>
  <c r="AS29" i="9"/>
  <c r="AR30" i="9"/>
  <c r="I21" i="12"/>
  <c r="AD10" i="1"/>
  <c r="AH10" i="1" s="1"/>
  <c r="AB11" i="1"/>
  <c r="AD19" i="1"/>
  <c r="AH19" i="1" s="1"/>
  <c r="AC20" i="1"/>
  <c r="AE29" i="1"/>
  <c r="H15" i="11"/>
  <c r="J15" i="11" s="1"/>
  <c r="G16" i="11" s="1"/>
  <c r="AA30" i="16" s="1"/>
  <c r="AC30" i="16" s="1"/>
  <c r="AH30" i="16" s="1"/>
  <c r="I16" i="11"/>
  <c r="AC42" i="1"/>
  <c r="AD41" i="1"/>
  <c r="AI8" i="9"/>
  <c r="AF8" i="9"/>
  <c r="AQ8" i="9" s="1"/>
  <c r="AD20" i="9"/>
  <c r="AE19" i="9"/>
  <c r="AT6" i="9"/>
  <c r="AG6" i="9" s="1"/>
  <c r="AH6" i="9" s="1"/>
  <c r="AK6" i="9" s="1"/>
  <c r="F14" i="12" s="1"/>
  <c r="M14" i="12" s="1"/>
  <c r="AI40" i="1"/>
  <c r="AE9" i="9"/>
  <c r="AC10" i="9"/>
  <c r="AL5" i="9"/>
  <c r="AI18" i="9"/>
  <c r="AB33" i="1"/>
  <c r="AD32" i="1"/>
  <c r="AI32" i="1" s="1"/>
  <c r="AR7" i="9"/>
  <c r="AS7" i="9" s="1"/>
  <c r="AT7" i="9" s="1"/>
  <c r="AG7" i="9" s="1"/>
  <c r="AH7" i="9" s="1"/>
  <c r="AK7" i="9" s="1"/>
  <c r="F15" i="12" s="1"/>
  <c r="M15" i="12" s="1"/>
  <c r="Q16" i="10"/>
  <c r="S16" i="10"/>
  <c r="R17" i="10"/>
  <c r="K18" i="10"/>
  <c r="P18" i="10" s="1"/>
  <c r="M17" i="10"/>
  <c r="O17" i="10" s="1"/>
  <c r="L17" i="10"/>
  <c r="K7" i="1"/>
  <c r="R14" i="9"/>
  <c r="T14" i="9"/>
  <c r="K16" i="9"/>
  <c r="M15" i="9"/>
  <c r="O15" i="9" s="1"/>
  <c r="AE37" i="9" s="1"/>
  <c r="L15" i="9"/>
  <c r="N19" i="10"/>
  <c r="N19" i="9"/>
  <c r="M7" i="1"/>
  <c r="O7" i="1" s="1"/>
  <c r="Y50" i="1" s="1"/>
  <c r="AA50" i="1" s="1"/>
  <c r="AF50" i="1" s="1"/>
  <c r="AP50" i="1" s="1"/>
  <c r="M6" i="1"/>
  <c r="O6" i="1" s="1"/>
  <c r="Y49" i="1" s="1"/>
  <c r="AA49" i="1" s="1"/>
  <c r="AF49" i="1" s="1"/>
  <c r="AP49" i="1" s="1"/>
  <c r="AQ49" i="1" s="1"/>
  <c r="AR49" i="1" s="1"/>
  <c r="AS49" i="1" s="1"/>
  <c r="AG49" i="1" s="1"/>
  <c r="AH49" i="1" s="1"/>
  <c r="AK49" i="1" s="1"/>
  <c r="AL49" i="1" s="1"/>
  <c r="L6" i="1"/>
  <c r="N7" i="1"/>
  <c r="N8" i="1" s="1"/>
  <c r="E84" i="12" l="1"/>
  <c r="AL6" i="9"/>
  <c r="S16" i="9"/>
  <c r="P16" i="9"/>
  <c r="AA13" i="9"/>
  <c r="AB13" i="9" s="1"/>
  <c r="I54" i="12"/>
  <c r="H53" i="12"/>
  <c r="J53" i="12" s="1"/>
  <c r="I86" i="12"/>
  <c r="H85" i="12"/>
  <c r="J85" i="12" s="1"/>
  <c r="E52" i="12"/>
  <c r="C53" i="12"/>
  <c r="AK36" i="9"/>
  <c r="Z36" i="9"/>
  <c r="C21" i="12"/>
  <c r="C85" i="12"/>
  <c r="AJ36" i="9"/>
  <c r="L51" i="12"/>
  <c r="L52" i="12" s="1"/>
  <c r="L83" i="12"/>
  <c r="E85" i="12"/>
  <c r="L84" i="12"/>
  <c r="L13" i="12"/>
  <c r="Q12" i="12" s="1"/>
  <c r="Y13" i="19" s="1"/>
  <c r="W42" i="19" s="1"/>
  <c r="AO28" i="16"/>
  <c r="AP28" i="16" s="1"/>
  <c r="AM28" i="16"/>
  <c r="AB36" i="9"/>
  <c r="AD36" i="9" s="1"/>
  <c r="AI36" i="9" s="1"/>
  <c r="AA35" i="10"/>
  <c r="AC35" i="10" s="1"/>
  <c r="AH35" i="10" s="1"/>
  <c r="AL34" i="9"/>
  <c r="AM34" i="9"/>
  <c r="AO53" i="9" s="1"/>
  <c r="AC35" i="9"/>
  <c r="Z30" i="16"/>
  <c r="AB30" i="16" s="1"/>
  <c r="AQ28" i="16"/>
  <c r="AU28" i="16"/>
  <c r="AV28" i="16" s="1"/>
  <c r="AW28" i="16" s="1"/>
  <c r="AX28" i="16" s="1"/>
  <c r="AK29" i="16"/>
  <c r="AN29" i="16"/>
  <c r="AM29" i="16" s="1"/>
  <c r="AQ50" i="1"/>
  <c r="AR50" i="1" s="1"/>
  <c r="AS50" i="1" s="1"/>
  <c r="AG50" i="1" s="1"/>
  <c r="AH50" i="1" s="1"/>
  <c r="AK50" i="1" s="1"/>
  <c r="AL50" i="1" s="1"/>
  <c r="AG38" i="9"/>
  <c r="H21" i="12"/>
  <c r="J21" i="12" s="1"/>
  <c r="G22" i="12" s="1"/>
  <c r="AA36" i="9"/>
  <c r="Z14" i="9"/>
  <c r="Z15" i="10"/>
  <c r="AA15" i="10" s="1"/>
  <c r="AP37" i="10"/>
  <c r="Y16" i="10"/>
  <c r="AP33" i="10"/>
  <c r="AQ33" i="10" s="1"/>
  <c r="AR33" i="10" s="1"/>
  <c r="AS33" i="10" s="1"/>
  <c r="U16" i="10"/>
  <c r="AQ33" i="9"/>
  <c r="E14" i="12"/>
  <c r="AP28" i="9"/>
  <c r="AS30" i="9"/>
  <c r="AT30" i="9" s="1"/>
  <c r="AR31" i="9"/>
  <c r="AT29" i="9"/>
  <c r="AO29" i="9" s="1"/>
  <c r="I22" i="12"/>
  <c r="Y27" i="1"/>
  <c r="Y5" i="1"/>
  <c r="AL7" i="9"/>
  <c r="AF9" i="9"/>
  <c r="AQ9" i="9" s="1"/>
  <c r="AI9" i="9"/>
  <c r="AI19" i="9"/>
  <c r="AR8" i="9"/>
  <c r="AS8" i="9" s="1"/>
  <c r="AI41" i="1"/>
  <c r="AD20" i="1"/>
  <c r="AH20" i="1" s="1"/>
  <c r="AC21" i="1"/>
  <c r="AD21" i="1" s="1"/>
  <c r="AH21" i="1" s="1"/>
  <c r="AD11" i="1"/>
  <c r="AH11" i="1" s="1"/>
  <c r="AB12" i="1"/>
  <c r="Z27" i="1"/>
  <c r="Y28" i="1"/>
  <c r="K8" i="1"/>
  <c r="P7" i="1"/>
  <c r="R7" i="1"/>
  <c r="AD33" i="1"/>
  <c r="AI33" i="1" s="1"/>
  <c r="AB34" i="1"/>
  <c r="AE10" i="9"/>
  <c r="AC11" i="9"/>
  <c r="AD21" i="9"/>
  <c r="AE21" i="9" s="1"/>
  <c r="AE20" i="9"/>
  <c r="AD42" i="1"/>
  <c r="AC43" i="1"/>
  <c r="AD43" i="1" s="1"/>
  <c r="AE30" i="1"/>
  <c r="H16" i="11"/>
  <c r="J16" i="11" s="1"/>
  <c r="G17" i="11" s="1"/>
  <c r="AA31" i="16" s="1"/>
  <c r="AC31" i="16" s="1"/>
  <c r="AH31" i="16" s="1"/>
  <c r="I17" i="11"/>
  <c r="Q17" i="10"/>
  <c r="S17" i="10"/>
  <c r="R18" i="10"/>
  <c r="K19" i="10"/>
  <c r="P19" i="10" s="1"/>
  <c r="M18" i="10"/>
  <c r="O18" i="10" s="1"/>
  <c r="L18" i="10"/>
  <c r="W13" i="9"/>
  <c r="W14" i="9" s="1"/>
  <c r="L8" i="1"/>
  <c r="L7" i="1"/>
  <c r="R15" i="9"/>
  <c r="T15" i="9"/>
  <c r="K17" i="9"/>
  <c r="M16" i="9"/>
  <c r="O16" i="9" s="1"/>
  <c r="AE38" i="9" s="1"/>
  <c r="L16" i="9"/>
  <c r="N20" i="10"/>
  <c r="N20" i="9"/>
  <c r="S6" i="1"/>
  <c r="Z5" i="1" s="1"/>
  <c r="S7" i="1"/>
  <c r="Q7" i="1"/>
  <c r="K9" i="1"/>
  <c r="S17" i="9" l="1"/>
  <c r="P17" i="9"/>
  <c r="AA14" i="9"/>
  <c r="AB14" i="9" s="1"/>
  <c r="G86" i="12"/>
  <c r="G54" i="12"/>
  <c r="H54" i="12" s="1"/>
  <c r="C86" i="12"/>
  <c r="AC36" i="9"/>
  <c r="AM36" i="9" s="1"/>
  <c r="AO55" i="9" s="1"/>
  <c r="H86" i="12"/>
  <c r="H87" i="12" s="1"/>
  <c r="E53" i="12"/>
  <c r="Z37" i="9"/>
  <c r="AK37" i="9"/>
  <c r="F85" i="12"/>
  <c r="M85" i="12" s="1"/>
  <c r="F53" i="12"/>
  <c r="M53" i="12" s="1"/>
  <c r="AN34" i="9"/>
  <c r="E15" i="12"/>
  <c r="P12" i="12" s="1"/>
  <c r="AB37" i="9"/>
  <c r="AD37" i="9" s="1"/>
  <c r="AI37" i="9" s="1"/>
  <c r="AA36" i="10"/>
  <c r="AC36" i="10" s="1"/>
  <c r="AH36" i="10" s="1"/>
  <c r="AL35" i="9"/>
  <c r="AM35" i="9"/>
  <c r="AO54" i="9" s="1"/>
  <c r="AQ29" i="16"/>
  <c r="AU29" i="16"/>
  <c r="AV29" i="16" s="1"/>
  <c r="AW29" i="16" s="1"/>
  <c r="AX29" i="16" s="1"/>
  <c r="AO29" i="16"/>
  <c r="Z31" i="16"/>
  <c r="AB31" i="16" s="1"/>
  <c r="AK30" i="16"/>
  <c r="AN30" i="16"/>
  <c r="AM30" i="16" s="1"/>
  <c r="AG39" i="9"/>
  <c r="AA37" i="9"/>
  <c r="Z15" i="9"/>
  <c r="Z16" i="10"/>
  <c r="F20" i="13"/>
  <c r="Y17" i="10"/>
  <c r="AP34" i="10"/>
  <c r="AQ34" i="10" s="1"/>
  <c r="AR34" i="10" s="1"/>
  <c r="AS34" i="10" s="1"/>
  <c r="AP38" i="10"/>
  <c r="AA16" i="10"/>
  <c r="U17" i="10"/>
  <c r="AQ34" i="9"/>
  <c r="AP29" i="9"/>
  <c r="L14" i="12"/>
  <c r="AS31" i="9"/>
  <c r="AR32" i="9"/>
  <c r="AO30" i="9"/>
  <c r="H22" i="12"/>
  <c r="AE31" i="1"/>
  <c r="I18" i="11"/>
  <c r="AI42" i="1"/>
  <c r="AI21" i="9"/>
  <c r="AC12" i="9"/>
  <c r="AE11" i="9"/>
  <c r="AD34" i="1"/>
  <c r="AI34" i="1" s="1"/>
  <c r="AB35" i="1"/>
  <c r="P8" i="1"/>
  <c r="R8" i="1"/>
  <c r="AR9" i="9"/>
  <c r="AS9" i="9" s="1"/>
  <c r="AA27" i="1"/>
  <c r="AF27" i="1" s="1"/>
  <c r="M8" i="1"/>
  <c r="O8" i="1" s="1"/>
  <c r="Y51" i="1" s="1"/>
  <c r="AA51" i="1" s="1"/>
  <c r="AF51" i="1" s="1"/>
  <c r="AP51" i="1" s="1"/>
  <c r="AQ51" i="1" s="1"/>
  <c r="AR51" i="1" s="1"/>
  <c r="AS51" i="1" s="1"/>
  <c r="AG51" i="1" s="1"/>
  <c r="AH51" i="1" s="1"/>
  <c r="AK51" i="1" s="1"/>
  <c r="AL51" i="1" s="1"/>
  <c r="Z28" i="1"/>
  <c r="AA28" i="1" s="1"/>
  <c r="AF28" i="1" s="1"/>
  <c r="Z6" i="1"/>
  <c r="H17" i="11"/>
  <c r="J17" i="11" s="1"/>
  <c r="G18" i="11" s="1"/>
  <c r="AA32" i="16" s="1"/>
  <c r="AC32" i="16" s="1"/>
  <c r="AH32" i="16" s="1"/>
  <c r="AI43" i="1"/>
  <c r="AI20" i="9"/>
  <c r="U6" i="1"/>
  <c r="AF10" i="9"/>
  <c r="AQ10" i="9" s="1"/>
  <c r="AI10" i="9"/>
  <c r="U7" i="1"/>
  <c r="C14" i="11" s="1"/>
  <c r="Y6" i="1"/>
  <c r="AA6" i="1" s="1"/>
  <c r="AE6" i="1" s="1"/>
  <c r="AB13" i="1"/>
  <c r="AD12" i="1"/>
  <c r="AH12" i="1" s="1"/>
  <c r="AT8" i="9"/>
  <c r="AG8" i="9" s="1"/>
  <c r="AH8" i="9" s="1"/>
  <c r="AK8" i="9" s="1"/>
  <c r="F16" i="12" s="1"/>
  <c r="M16" i="12" s="1"/>
  <c r="AA5" i="1"/>
  <c r="AE5" i="1" s="1"/>
  <c r="Q8" i="1"/>
  <c r="S8" i="1"/>
  <c r="U8" i="1" s="1"/>
  <c r="C15" i="11" s="1"/>
  <c r="P9" i="1"/>
  <c r="R9" i="1"/>
  <c r="Q18" i="10"/>
  <c r="S18" i="10"/>
  <c r="R19" i="10"/>
  <c r="L19" i="10"/>
  <c r="K20" i="10"/>
  <c r="P20" i="10" s="1"/>
  <c r="M19" i="10"/>
  <c r="O19" i="10" s="1"/>
  <c r="M9" i="1"/>
  <c r="O9" i="1" s="1"/>
  <c r="Y52" i="1" s="1"/>
  <c r="AA52" i="1" s="1"/>
  <c r="AF52" i="1" s="1"/>
  <c r="AP52" i="1" s="1"/>
  <c r="R16" i="9"/>
  <c r="T16" i="9"/>
  <c r="K18" i="9"/>
  <c r="M17" i="9"/>
  <c r="O17" i="9" s="1"/>
  <c r="AE39" i="9" s="1"/>
  <c r="L17" i="9"/>
  <c r="N21" i="10"/>
  <c r="N21" i="9"/>
  <c r="K10" i="1"/>
  <c r="L9" i="1"/>
  <c r="N9" i="1"/>
  <c r="AL36" i="9" l="1"/>
  <c r="C22" i="12"/>
  <c r="S18" i="9"/>
  <c r="P18" i="9"/>
  <c r="H55" i="12"/>
  <c r="J54" i="12"/>
  <c r="F86" i="12"/>
  <c r="M86" i="12" s="1"/>
  <c r="E86" i="12"/>
  <c r="AD38" i="9"/>
  <c r="AI38" i="9" s="1"/>
  <c r="AA15" i="9"/>
  <c r="AB15" i="9" s="1"/>
  <c r="AF15" i="9" s="1"/>
  <c r="AQ15" i="9" s="1"/>
  <c r="C54" i="12"/>
  <c r="F54" i="12" s="1"/>
  <c r="M54" i="12" s="1"/>
  <c r="AJ37" i="9"/>
  <c r="J86" i="12"/>
  <c r="C55" i="12"/>
  <c r="F55" i="12" s="1"/>
  <c r="M55" i="12" s="1"/>
  <c r="AK38" i="9"/>
  <c r="C87" i="12"/>
  <c r="F87" i="12" s="1"/>
  <c r="M87" i="12" s="1"/>
  <c r="AJ38" i="9"/>
  <c r="AQ38" i="9" s="1"/>
  <c r="Z38" i="9"/>
  <c r="AC38" i="9" s="1"/>
  <c r="C23" i="12"/>
  <c r="L53" i="12"/>
  <c r="L85" i="12"/>
  <c r="L86" i="12" s="1"/>
  <c r="C13" i="11"/>
  <c r="C45" i="11"/>
  <c r="T31" i="1"/>
  <c r="C77" i="11"/>
  <c r="T28" i="1"/>
  <c r="T30" i="1"/>
  <c r="T31" i="10" s="1"/>
  <c r="U31" i="10" s="1"/>
  <c r="AN35" i="9"/>
  <c r="AC37" i="9"/>
  <c r="Z32" i="16"/>
  <c r="AB32" i="16" s="1"/>
  <c r="AQ30" i="16"/>
  <c r="AU30" i="16"/>
  <c r="AV30" i="16" s="1"/>
  <c r="AW30" i="16" s="1"/>
  <c r="AX30" i="16" s="1"/>
  <c r="AN31" i="16"/>
  <c r="AM31" i="16" s="1"/>
  <c r="AK31" i="16"/>
  <c r="AP29" i="16"/>
  <c r="AO30" i="16"/>
  <c r="AQ52" i="1"/>
  <c r="AR52" i="1" s="1"/>
  <c r="AS52" i="1" s="1"/>
  <c r="AG52" i="1" s="1"/>
  <c r="AH52" i="1" s="1"/>
  <c r="AK52" i="1" s="1"/>
  <c r="AL52" i="1" s="1"/>
  <c r="AG40" i="9"/>
  <c r="Z16" i="9"/>
  <c r="Z17" i="10"/>
  <c r="Y18" i="10"/>
  <c r="AP35" i="10"/>
  <c r="AQ35" i="10" s="1"/>
  <c r="AR35" i="10" s="1"/>
  <c r="AS35" i="10" s="1"/>
  <c r="AA17" i="10"/>
  <c r="AP39" i="10"/>
  <c r="F22" i="13"/>
  <c r="F21" i="13"/>
  <c r="F19" i="13"/>
  <c r="U18" i="10"/>
  <c r="E16" i="12"/>
  <c r="AQ35" i="9"/>
  <c r="AP30" i="9"/>
  <c r="L15" i="12"/>
  <c r="AS32" i="9"/>
  <c r="AR33" i="9"/>
  <c r="AT31" i="9"/>
  <c r="AO31" i="9" s="1"/>
  <c r="H23" i="12"/>
  <c r="J22" i="12"/>
  <c r="AP28" i="1"/>
  <c r="AP5" i="1"/>
  <c r="AQ5" i="1" s="1"/>
  <c r="AR5" i="1" s="1"/>
  <c r="AS5" i="1" s="1"/>
  <c r="AF5" i="1" s="1"/>
  <c r="AG5" i="1" s="1"/>
  <c r="AJ5" i="1" s="1"/>
  <c r="Z29" i="1"/>
  <c r="Z7" i="1"/>
  <c r="AP6" i="1"/>
  <c r="Y29" i="1"/>
  <c r="AA29" i="1" s="1"/>
  <c r="AF29" i="1" s="1"/>
  <c r="Y7" i="1"/>
  <c r="AA7" i="1" s="1"/>
  <c r="AE7" i="1" s="1"/>
  <c r="AT9" i="9"/>
  <c r="AG9" i="9" s="1"/>
  <c r="AH9" i="9" s="1"/>
  <c r="AK9" i="9" s="1"/>
  <c r="F17" i="12" s="1"/>
  <c r="M17" i="12" s="1"/>
  <c r="AE12" i="9"/>
  <c r="AC13" i="9"/>
  <c r="AE32" i="1"/>
  <c r="I19" i="11"/>
  <c r="H18" i="11"/>
  <c r="J18" i="11" s="1"/>
  <c r="G19" i="11" s="1"/>
  <c r="AA33" i="16" s="1"/>
  <c r="AC33" i="16" s="1"/>
  <c r="AH33" i="16" s="1"/>
  <c r="Y30" i="1"/>
  <c r="Y8" i="1"/>
  <c r="AL8" i="9"/>
  <c r="AB14" i="1"/>
  <c r="AD14" i="1" s="1"/>
  <c r="AH14" i="1" s="1"/>
  <c r="AD13" i="1"/>
  <c r="AH13" i="1" s="1"/>
  <c r="AR10" i="9"/>
  <c r="AS10" i="9" s="1"/>
  <c r="AT10" i="9" s="1"/>
  <c r="AG10" i="9" s="1"/>
  <c r="AH10" i="9" s="1"/>
  <c r="AK10" i="9" s="1"/>
  <c r="F18" i="12" s="1"/>
  <c r="M18" i="12" s="1"/>
  <c r="AP27" i="1"/>
  <c r="AQ27" i="1" s="1"/>
  <c r="AR27" i="1" s="1"/>
  <c r="AS27" i="1" s="1"/>
  <c r="AG27" i="1" s="1"/>
  <c r="AH27" i="1" s="1"/>
  <c r="AK27" i="1" s="1"/>
  <c r="AB36" i="1"/>
  <c r="AD36" i="1" s="1"/>
  <c r="AI36" i="1" s="1"/>
  <c r="AD35" i="1"/>
  <c r="AI35" i="1" s="1"/>
  <c r="AI11" i="9"/>
  <c r="AF11" i="9"/>
  <c r="AQ11" i="9" s="1"/>
  <c r="P10" i="1"/>
  <c r="R10" i="1"/>
  <c r="Q19" i="10"/>
  <c r="S19" i="10"/>
  <c r="R20" i="10"/>
  <c r="M20" i="10"/>
  <c r="O20" i="10" s="1"/>
  <c r="L20" i="10"/>
  <c r="K21" i="10"/>
  <c r="P21" i="10" s="1"/>
  <c r="W15" i="9"/>
  <c r="M10" i="1"/>
  <c r="O10" i="1" s="1"/>
  <c r="Y53" i="1" s="1"/>
  <c r="AA53" i="1" s="1"/>
  <c r="AF53" i="1" s="1"/>
  <c r="AP53" i="1" s="1"/>
  <c r="R17" i="9"/>
  <c r="T17" i="9"/>
  <c r="M18" i="9"/>
  <c r="O18" i="9" s="1"/>
  <c r="AE40" i="9" s="1"/>
  <c r="L18" i="9"/>
  <c r="K19" i="9"/>
  <c r="V6" i="1"/>
  <c r="V7" i="1" s="1"/>
  <c r="N22" i="10"/>
  <c r="N22" i="9"/>
  <c r="S9" i="1"/>
  <c r="Q9" i="1"/>
  <c r="K11" i="1"/>
  <c r="L10" i="1"/>
  <c r="N10" i="1"/>
  <c r="M11" i="1"/>
  <c r="O11" i="1" s="1"/>
  <c r="Y54" i="1" s="1"/>
  <c r="AA54" i="1" s="1"/>
  <c r="AF54" i="1" s="1"/>
  <c r="AP54" i="1" s="1"/>
  <c r="V31" i="10" l="1"/>
  <c r="U5" i="10"/>
  <c r="AM37" i="9"/>
  <c r="AO56" i="9" s="1"/>
  <c r="E87" i="12"/>
  <c r="S19" i="9"/>
  <c r="P19" i="9"/>
  <c r="L54" i="12"/>
  <c r="L55" i="12" s="1"/>
  <c r="AD39" i="9"/>
  <c r="AI39" i="9" s="1"/>
  <c r="AA16" i="9"/>
  <c r="C88" i="12"/>
  <c r="F88" i="12" s="1"/>
  <c r="M88" i="12" s="1"/>
  <c r="AB16" i="9"/>
  <c r="AF16" i="9" s="1"/>
  <c r="AQ16" i="9" s="1"/>
  <c r="E54" i="12"/>
  <c r="L87" i="12"/>
  <c r="E55" i="12"/>
  <c r="AN36" i="9"/>
  <c r="AM54" i="9" s="1"/>
  <c r="AL38" i="9"/>
  <c r="AM38" i="9"/>
  <c r="AO57" i="9" s="1"/>
  <c r="C94" i="11"/>
  <c r="C95" i="11" s="1"/>
  <c r="E77" i="1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F77" i="11"/>
  <c r="M77" i="11" s="1"/>
  <c r="C62" i="11"/>
  <c r="C63" i="11" s="1"/>
  <c r="E45" i="1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F45" i="11"/>
  <c r="M45" i="11" s="1"/>
  <c r="T32" i="1"/>
  <c r="P11" i="11" s="1"/>
  <c r="P10" i="11"/>
  <c r="AL37" i="9"/>
  <c r="Z33" i="16"/>
  <c r="AB33" i="16" s="1"/>
  <c r="AQ31" i="16"/>
  <c r="AU31" i="16"/>
  <c r="AV31" i="16" s="1"/>
  <c r="AW31" i="16" s="1"/>
  <c r="AX31" i="16" s="1"/>
  <c r="AP30" i="16"/>
  <c r="AO31" i="16"/>
  <c r="AN32" i="16"/>
  <c r="AM32" i="16" s="1"/>
  <c r="AK32" i="16"/>
  <c r="AQ53" i="1"/>
  <c r="AR53" i="1" s="1"/>
  <c r="AS53" i="1" s="1"/>
  <c r="AG53" i="1" s="1"/>
  <c r="AH53" i="1" s="1"/>
  <c r="AK53" i="1" s="1"/>
  <c r="AL53" i="1" s="1"/>
  <c r="AP36" i="10"/>
  <c r="AQ36" i="10"/>
  <c r="AQ37" i="10" s="1"/>
  <c r="AG41" i="9"/>
  <c r="Z17" i="9"/>
  <c r="Z18" i="10"/>
  <c r="AA18" i="10"/>
  <c r="AP40" i="10"/>
  <c r="Y19" i="10"/>
  <c r="F23" i="13"/>
  <c r="M23" i="13" s="1"/>
  <c r="U19" i="10"/>
  <c r="E17" i="12"/>
  <c r="E18" i="12" s="1"/>
  <c r="AQ37" i="9"/>
  <c r="AQ36" i="9"/>
  <c r="AP31" i="9"/>
  <c r="L16" i="12"/>
  <c r="AS33" i="9"/>
  <c r="AR34" i="9"/>
  <c r="AT32" i="9"/>
  <c r="AO32" i="9" s="1"/>
  <c r="AQ6" i="1"/>
  <c r="AR6" i="1" s="1"/>
  <c r="AS6" i="1" s="1"/>
  <c r="AF6" i="1" s="1"/>
  <c r="AG6" i="1" s="1"/>
  <c r="AJ6" i="1" s="1"/>
  <c r="F14" i="11" s="1"/>
  <c r="M14" i="11" s="1"/>
  <c r="Z30" i="1"/>
  <c r="Z8" i="1"/>
  <c r="AA8" i="1"/>
  <c r="AE8" i="1" s="1"/>
  <c r="AF12" i="9"/>
  <c r="AQ12" i="9" s="1"/>
  <c r="AI12" i="9"/>
  <c r="AP7" i="1"/>
  <c r="AQ7" i="1" s="1"/>
  <c r="AR7" i="1" s="1"/>
  <c r="AS7" i="1" s="1"/>
  <c r="AF7" i="1" s="1"/>
  <c r="AG7" i="1" s="1"/>
  <c r="AJ7" i="1" s="1"/>
  <c r="F15" i="11" s="1"/>
  <c r="M15" i="11" s="1"/>
  <c r="Y31" i="1"/>
  <c r="Y9" i="1"/>
  <c r="AR11" i="9"/>
  <c r="AS11" i="9" s="1"/>
  <c r="AL9" i="9"/>
  <c r="AL10" i="9" s="1"/>
  <c r="AA30" i="1"/>
  <c r="AF30" i="1" s="1"/>
  <c r="AE33" i="1"/>
  <c r="H19" i="11"/>
  <c r="J19" i="11" s="1"/>
  <c r="G20" i="11" s="1"/>
  <c r="AA34" i="16" s="1"/>
  <c r="AC34" i="16" s="1"/>
  <c r="AH34" i="16" s="1"/>
  <c r="I20" i="11"/>
  <c r="AE13" i="9"/>
  <c r="AC14" i="9"/>
  <c r="AE14" i="9" s="1"/>
  <c r="AP29" i="1"/>
  <c r="AK26" i="1"/>
  <c r="AL26" i="1" s="1"/>
  <c r="AL27" i="1" s="1"/>
  <c r="AK5" i="1"/>
  <c r="AQ28" i="1"/>
  <c r="AR28" i="1" s="1"/>
  <c r="AS28" i="1" s="1"/>
  <c r="AG28" i="1" s="1"/>
  <c r="AH28" i="1" s="1"/>
  <c r="AK28" i="1" s="1"/>
  <c r="P11" i="1"/>
  <c r="Y10" i="1" s="1"/>
  <c r="R11" i="1"/>
  <c r="U9" i="1"/>
  <c r="C16" i="11" s="1"/>
  <c r="W16" i="9"/>
  <c r="R21" i="10"/>
  <c r="L21" i="10"/>
  <c r="K22" i="10"/>
  <c r="P22" i="10" s="1"/>
  <c r="M21" i="10"/>
  <c r="O21" i="10" s="1"/>
  <c r="Q20" i="10"/>
  <c r="S20" i="10"/>
  <c r="R18" i="9"/>
  <c r="T18" i="9"/>
  <c r="L19" i="9"/>
  <c r="K20" i="9"/>
  <c r="M19" i="9"/>
  <c r="O19" i="9" s="1"/>
  <c r="V8" i="1"/>
  <c r="T33" i="1" s="1"/>
  <c r="K12" i="1"/>
  <c r="L11" i="1"/>
  <c r="Q10" i="1"/>
  <c r="S10" i="1"/>
  <c r="N11" i="1"/>
  <c r="R31" i="10" l="1"/>
  <c r="R32" i="10"/>
  <c r="R29" i="10"/>
  <c r="E4" i="19" s="1"/>
  <c r="D76" i="13"/>
  <c r="D44" i="13"/>
  <c r="D12" i="13"/>
  <c r="AM26" i="10"/>
  <c r="AC26" i="10"/>
  <c r="AI4" i="10"/>
  <c r="AJ4" i="10" s="1"/>
  <c r="AK4" i="10" s="1"/>
  <c r="V52" i="10"/>
  <c r="V5" i="10"/>
  <c r="V6" i="10" s="1"/>
  <c r="V7" i="10" s="1"/>
  <c r="AC27" i="10"/>
  <c r="AH27" i="10" s="1"/>
  <c r="L88" i="12"/>
  <c r="C24" i="12"/>
  <c r="S20" i="9"/>
  <c r="P20" i="9"/>
  <c r="AE41" i="9"/>
  <c r="AK39" i="9"/>
  <c r="Z39" i="9"/>
  <c r="AC39" i="9" s="1"/>
  <c r="AD40" i="9"/>
  <c r="AI40" i="9" s="1"/>
  <c r="AA17" i="9"/>
  <c r="AB17" i="9"/>
  <c r="AF17" i="9" s="1"/>
  <c r="AQ17" i="9" s="1"/>
  <c r="AK40" i="9"/>
  <c r="C56" i="12"/>
  <c r="F56" i="12" s="1"/>
  <c r="M56" i="12" s="1"/>
  <c r="L56" i="12" s="1"/>
  <c r="AJ39" i="9"/>
  <c r="AQ39" i="9" s="1"/>
  <c r="E88" i="12"/>
  <c r="C57" i="12"/>
  <c r="F57" i="12" s="1"/>
  <c r="M57" i="12" s="1"/>
  <c r="Z40" i="9"/>
  <c r="AC40" i="9" s="1"/>
  <c r="C89" i="12"/>
  <c r="F89" i="12" s="1"/>
  <c r="M89" i="12" s="1"/>
  <c r="L89" i="12" s="1"/>
  <c r="AN37" i="9"/>
  <c r="AN38" i="9" s="1"/>
  <c r="S10" i="11"/>
  <c r="L77" i="11"/>
  <c r="M94" i="11"/>
  <c r="R10" i="11"/>
  <c r="R11" i="11" s="1"/>
  <c r="L45" i="11"/>
  <c r="M62" i="11"/>
  <c r="P23" i="12"/>
  <c r="AQ54" i="1"/>
  <c r="AR54" i="1" s="1"/>
  <c r="AS54" i="1" s="1"/>
  <c r="AG54" i="1" s="1"/>
  <c r="AH54" i="1" s="1"/>
  <c r="AK54" i="1" s="1"/>
  <c r="AL54" i="1" s="1"/>
  <c r="AP31" i="16"/>
  <c r="AO32" i="16"/>
  <c r="Z34" i="16"/>
  <c r="AB34" i="16" s="1"/>
  <c r="AU32" i="16"/>
  <c r="AV32" i="16" s="1"/>
  <c r="AW32" i="16" s="1"/>
  <c r="AX32" i="16" s="1"/>
  <c r="AQ32" i="16"/>
  <c r="AK33" i="16"/>
  <c r="AN33" i="16"/>
  <c r="AM33" i="16" s="1"/>
  <c r="AR36" i="10"/>
  <c r="AS36" i="10" s="1"/>
  <c r="AG42" i="9"/>
  <c r="Z18" i="9"/>
  <c r="Z19" i="10"/>
  <c r="U20" i="10"/>
  <c r="AA19" i="10"/>
  <c r="F24" i="13"/>
  <c r="M24" i="13" s="1"/>
  <c r="AP41" i="10"/>
  <c r="Y20" i="10"/>
  <c r="AP32" i="9"/>
  <c r="L17" i="12"/>
  <c r="AS34" i="9"/>
  <c r="AT34" i="9" s="1"/>
  <c r="AR35" i="9"/>
  <c r="AT33" i="9"/>
  <c r="AO33" i="9" s="1"/>
  <c r="AQ38" i="10"/>
  <c r="AR37" i="10"/>
  <c r="AS37" i="10" s="1"/>
  <c r="Z31" i="1"/>
  <c r="Z9" i="1"/>
  <c r="AK6" i="1"/>
  <c r="F13" i="11"/>
  <c r="M13" i="11" s="1"/>
  <c r="L13" i="11" s="1"/>
  <c r="E13" i="11"/>
  <c r="AQ29" i="1"/>
  <c r="AR29" i="1" s="1"/>
  <c r="AS29" i="1" s="1"/>
  <c r="AG29" i="1" s="1"/>
  <c r="AH29" i="1" s="1"/>
  <c r="AK29" i="1" s="1"/>
  <c r="AF13" i="9"/>
  <c r="AQ13" i="9" s="1"/>
  <c r="AI13" i="9"/>
  <c r="AP30" i="1"/>
  <c r="AT11" i="9"/>
  <c r="AG11" i="9" s="1"/>
  <c r="AH11" i="9" s="1"/>
  <c r="AK11" i="9" s="1"/>
  <c r="AA9" i="1"/>
  <c r="AE9" i="1" s="1"/>
  <c r="Y32" i="1"/>
  <c r="AL28" i="1"/>
  <c r="AI14" i="9"/>
  <c r="AF14" i="9"/>
  <c r="AQ14" i="9" s="1"/>
  <c r="AE34" i="1"/>
  <c r="I21" i="11"/>
  <c r="H20" i="11"/>
  <c r="J20" i="11" s="1"/>
  <c r="G21" i="11" s="1"/>
  <c r="AA35" i="16" s="1"/>
  <c r="AC35" i="16" s="1"/>
  <c r="AH35" i="16" s="1"/>
  <c r="AA31" i="1"/>
  <c r="AF31" i="1" s="1"/>
  <c r="AP31" i="1" s="1"/>
  <c r="AR12" i="9"/>
  <c r="AS12" i="9" s="1"/>
  <c r="AP8" i="1"/>
  <c r="AQ8" i="1" s="1"/>
  <c r="AR8" i="1" s="1"/>
  <c r="AS8" i="1" s="1"/>
  <c r="AF8" i="1" s="1"/>
  <c r="AG8" i="1" s="1"/>
  <c r="AJ8" i="1" s="1"/>
  <c r="P12" i="1"/>
  <c r="R12" i="1"/>
  <c r="U10" i="1"/>
  <c r="C17" i="11" s="1"/>
  <c r="Q21" i="10"/>
  <c r="S21" i="10"/>
  <c r="R22" i="10"/>
  <c r="M22" i="10"/>
  <c r="O22" i="10" s="1"/>
  <c r="L22" i="10"/>
  <c r="W17" i="9"/>
  <c r="M12" i="1"/>
  <c r="O12" i="1" s="1"/>
  <c r="Y55" i="1" s="1"/>
  <c r="AA55" i="1" s="1"/>
  <c r="AF55" i="1" s="1"/>
  <c r="AP55" i="1" s="1"/>
  <c r="AQ55" i="1" s="1"/>
  <c r="AR55" i="1" s="1"/>
  <c r="AS55" i="1" s="1"/>
  <c r="AG55" i="1" s="1"/>
  <c r="AH55" i="1" s="1"/>
  <c r="AK55" i="1" s="1"/>
  <c r="AL55" i="1" s="1"/>
  <c r="R19" i="9"/>
  <c r="T19" i="9"/>
  <c r="M20" i="9"/>
  <c r="O20" i="9" s="1"/>
  <c r="L20" i="9"/>
  <c r="K21" i="9"/>
  <c r="V9" i="1"/>
  <c r="S11" i="1"/>
  <c r="Q11" i="1"/>
  <c r="K13" i="1"/>
  <c r="L12" i="1"/>
  <c r="N12" i="1"/>
  <c r="S11" i="11" l="1"/>
  <c r="X12" i="19" s="1"/>
  <c r="X37" i="19" s="1"/>
  <c r="X11" i="19"/>
  <c r="X33" i="19" s="1"/>
  <c r="V8" i="10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V19" i="10" s="1"/>
  <c r="V20" i="10" s="1"/>
  <c r="S57" i="10"/>
  <c r="U57" i="10" s="1"/>
  <c r="AN45" i="10"/>
  <c r="AN26" i="10"/>
  <c r="AO26" i="10" s="1"/>
  <c r="I37" i="13"/>
  <c r="C63" i="13"/>
  <c r="E44" i="13"/>
  <c r="K35" i="13"/>
  <c r="E6" i="19"/>
  <c r="T30" i="10"/>
  <c r="U30" i="10" s="1"/>
  <c r="S58" i="10"/>
  <c r="U58" i="10" s="1"/>
  <c r="V53" i="10"/>
  <c r="P9" i="13"/>
  <c r="C31" i="13"/>
  <c r="P7" i="13" s="1"/>
  <c r="P8" i="13" s="1"/>
  <c r="E12" i="13"/>
  <c r="K3" i="13"/>
  <c r="I5" i="13"/>
  <c r="I69" i="13"/>
  <c r="E76" i="13"/>
  <c r="K67" i="13"/>
  <c r="C95" i="13"/>
  <c r="R33" i="10"/>
  <c r="E8" i="19" s="1"/>
  <c r="E7" i="19"/>
  <c r="L57" i="12"/>
  <c r="AM39" i="9"/>
  <c r="AO58" i="9" s="1"/>
  <c r="S21" i="9"/>
  <c r="P21" i="9"/>
  <c r="AE42" i="9"/>
  <c r="AD41" i="9"/>
  <c r="AI41" i="9" s="1"/>
  <c r="AA18" i="9"/>
  <c r="AB18" i="9" s="1"/>
  <c r="AF18" i="9" s="1"/>
  <c r="AQ18" i="9" s="1"/>
  <c r="Z41" i="9"/>
  <c r="AC41" i="9" s="1"/>
  <c r="AL39" i="9"/>
  <c r="AJ40" i="9"/>
  <c r="AQ40" i="9" s="1"/>
  <c r="C25" i="12"/>
  <c r="E56" i="12"/>
  <c r="E57" i="12" s="1"/>
  <c r="E89" i="12"/>
  <c r="C90" i="12"/>
  <c r="F90" i="12" s="1"/>
  <c r="M90" i="12" s="1"/>
  <c r="L90" i="12" s="1"/>
  <c r="C58" i="12"/>
  <c r="F58" i="12" s="1"/>
  <c r="M58" i="12" s="1"/>
  <c r="L58" i="12" s="1"/>
  <c r="AN39" i="9"/>
  <c r="Q12" i="11"/>
  <c r="W13" i="19" s="1"/>
  <c r="W41" i="19" s="1"/>
  <c r="L14" i="11"/>
  <c r="L15" i="11" s="1"/>
  <c r="M63" i="11"/>
  <c r="R7" i="11" s="1"/>
  <c r="R8" i="11" s="1"/>
  <c r="R6" i="11"/>
  <c r="R9" i="11" s="1"/>
  <c r="L78" i="11"/>
  <c r="L79" i="11" s="1"/>
  <c r="L80" i="11" s="1"/>
  <c r="L81" i="11" s="1"/>
  <c r="L82" i="11" s="1"/>
  <c r="L83" i="11" s="1"/>
  <c r="L84" i="11" s="1"/>
  <c r="L85" i="11" s="1"/>
  <c r="L86" i="11" s="1"/>
  <c r="L87" i="11" s="1"/>
  <c r="L88" i="11" s="1"/>
  <c r="L89" i="11" s="1"/>
  <c r="L90" i="11" s="1"/>
  <c r="L91" i="11" s="1"/>
  <c r="L92" i="11" s="1"/>
  <c r="L93" i="11" s="1"/>
  <c r="X14" i="19" s="1"/>
  <c r="X45" i="19" s="1"/>
  <c r="S12" i="11"/>
  <c r="X13" i="19" s="1"/>
  <c r="X41" i="19" s="1"/>
  <c r="R12" i="11"/>
  <c r="L46" i="11"/>
  <c r="L47" i="11" s="1"/>
  <c r="L48" i="11" s="1"/>
  <c r="L49" i="11" s="1"/>
  <c r="L50" i="11" s="1"/>
  <c r="L51" i="11" s="1"/>
  <c r="L52" i="11" s="1"/>
  <c r="L53" i="11" s="1"/>
  <c r="L54" i="11" s="1"/>
  <c r="L55" i="11" s="1"/>
  <c r="L56" i="11" s="1"/>
  <c r="L57" i="11" s="1"/>
  <c r="L58" i="11" s="1"/>
  <c r="L59" i="11" s="1"/>
  <c r="L60" i="11" s="1"/>
  <c r="L61" i="11" s="1"/>
  <c r="M95" i="11"/>
  <c r="S7" i="11" s="1"/>
  <c r="S6" i="11"/>
  <c r="Z35" i="16"/>
  <c r="AB35" i="16" s="1"/>
  <c r="AU33" i="16"/>
  <c r="AV33" i="16" s="1"/>
  <c r="AW33" i="16" s="1"/>
  <c r="AX33" i="16" s="1"/>
  <c r="AQ33" i="16"/>
  <c r="AK34" i="16"/>
  <c r="AN34" i="16"/>
  <c r="AM34" i="16" s="1"/>
  <c r="AP32" i="16"/>
  <c r="AO33" i="16"/>
  <c r="AG43" i="9"/>
  <c r="Z19" i="9"/>
  <c r="E14" i="11"/>
  <c r="F25" i="13"/>
  <c r="M25" i="13" s="1"/>
  <c r="AP42" i="10"/>
  <c r="Z20" i="10"/>
  <c r="AA20" i="10" s="1"/>
  <c r="U21" i="10"/>
  <c r="V21" i="10" s="1"/>
  <c r="Y21" i="10"/>
  <c r="AP33" i="9"/>
  <c r="L18" i="12"/>
  <c r="AS35" i="9"/>
  <c r="AT35" i="9" s="1"/>
  <c r="AR36" i="9"/>
  <c r="AL11" i="9"/>
  <c r="AO34" i="9"/>
  <c r="AQ39" i="10"/>
  <c r="AR38" i="10"/>
  <c r="AS38" i="10" s="1"/>
  <c r="AQ30" i="1"/>
  <c r="AR30" i="1" s="1"/>
  <c r="AS30" i="1" s="1"/>
  <c r="AG30" i="1" s="1"/>
  <c r="AH30" i="1" s="1"/>
  <c r="AK30" i="1" s="1"/>
  <c r="AT12" i="9"/>
  <c r="AG12" i="9" s="1"/>
  <c r="AH12" i="9" s="1"/>
  <c r="AK12" i="9" s="1"/>
  <c r="F16" i="11"/>
  <c r="M16" i="11" s="1"/>
  <c r="AL29" i="1"/>
  <c r="AK7" i="1"/>
  <c r="Z32" i="1"/>
  <c r="AA32" i="1" s="1"/>
  <c r="AF32" i="1" s="1"/>
  <c r="Z10" i="1"/>
  <c r="AA10" i="1" s="1"/>
  <c r="AE10" i="1" s="1"/>
  <c r="V10" i="1"/>
  <c r="Y33" i="1"/>
  <c r="Y11" i="1"/>
  <c r="AE35" i="1"/>
  <c r="I22" i="11"/>
  <c r="H21" i="11"/>
  <c r="AP9" i="1"/>
  <c r="AQ9" i="1" s="1"/>
  <c r="AR9" i="1" s="1"/>
  <c r="AS9" i="1" s="1"/>
  <c r="AF9" i="1" s="1"/>
  <c r="AG9" i="1" s="1"/>
  <c r="AJ9" i="1" s="1"/>
  <c r="AR13" i="9"/>
  <c r="AS13" i="9" s="1"/>
  <c r="P13" i="1"/>
  <c r="R13" i="1"/>
  <c r="U11" i="1"/>
  <c r="C18" i="11" s="1"/>
  <c r="W18" i="9"/>
  <c r="Q22" i="10"/>
  <c r="U22" i="10" s="1"/>
  <c r="S22" i="10"/>
  <c r="M13" i="1"/>
  <c r="O13" i="1" s="1"/>
  <c r="Y56" i="1" s="1"/>
  <c r="AA56" i="1" s="1"/>
  <c r="AF56" i="1" s="1"/>
  <c r="AP56" i="1" s="1"/>
  <c r="AQ56" i="1" s="1"/>
  <c r="AR56" i="1" s="1"/>
  <c r="AS56" i="1" s="1"/>
  <c r="AG56" i="1" s="1"/>
  <c r="AH56" i="1" s="1"/>
  <c r="AK56" i="1" s="1"/>
  <c r="AL56" i="1" s="1"/>
  <c r="K22" i="9"/>
  <c r="M21" i="9"/>
  <c r="O21" i="9" s="1"/>
  <c r="L21" i="9"/>
  <c r="R20" i="9"/>
  <c r="T20" i="9"/>
  <c r="Q12" i="1"/>
  <c r="S12" i="1"/>
  <c r="K14" i="1"/>
  <c r="L13" i="1"/>
  <c r="N13" i="1"/>
  <c r="S8" i="11" l="1"/>
  <c r="X9" i="19" s="1"/>
  <c r="X25" i="19" s="1"/>
  <c r="X8" i="19"/>
  <c r="X21" i="19" s="1"/>
  <c r="F73" i="13"/>
  <c r="J76" i="13"/>
  <c r="F72" i="13"/>
  <c r="F74" i="13"/>
  <c r="K76" i="13" s="1"/>
  <c r="V30" i="10"/>
  <c r="V39" i="10"/>
  <c r="AE27" i="10"/>
  <c r="AE28" i="10" s="1"/>
  <c r="AE29" i="10" s="1"/>
  <c r="AE30" i="10" s="1"/>
  <c r="AE31" i="10" s="1"/>
  <c r="AB5" i="10"/>
  <c r="R34" i="10"/>
  <c r="E9" i="19" s="1"/>
  <c r="S9" i="11"/>
  <c r="X10" i="19" s="1"/>
  <c r="X29" i="19" s="1"/>
  <c r="X7" i="19"/>
  <c r="X17" i="19" s="1"/>
  <c r="E77" i="13"/>
  <c r="E78" i="13" s="1"/>
  <c r="E79" i="13" s="1"/>
  <c r="E80" i="13" s="1"/>
  <c r="E81" i="13" s="1"/>
  <c r="E82" i="13" s="1"/>
  <c r="E83" i="13" s="1"/>
  <c r="E84" i="13" s="1"/>
  <c r="E85" i="13" s="1"/>
  <c r="E86" i="13" s="1"/>
  <c r="E87" i="13" s="1"/>
  <c r="E88" i="13" s="1"/>
  <c r="E89" i="13" s="1"/>
  <c r="E90" i="13" s="1"/>
  <c r="E91" i="13" s="1"/>
  <c r="E92" i="13" s="1"/>
  <c r="E93" i="13" s="1"/>
  <c r="F76" i="13"/>
  <c r="J12" i="13"/>
  <c r="F8" i="13"/>
  <c r="F10" i="13"/>
  <c r="F9" i="13"/>
  <c r="F12" i="13"/>
  <c r="E13" i="13"/>
  <c r="E14" i="13" s="1"/>
  <c r="AF27" i="10"/>
  <c r="AF28" i="10" s="1"/>
  <c r="AF29" i="10" s="1"/>
  <c r="AF30" i="10" s="1"/>
  <c r="AF31" i="10" s="1"/>
  <c r="AF32" i="10" s="1"/>
  <c r="AF33" i="10" s="1"/>
  <c r="AF34" i="10" s="1"/>
  <c r="AF35" i="10" s="1"/>
  <c r="AF36" i="10" s="1"/>
  <c r="AF37" i="10" s="1"/>
  <c r="AC5" i="10"/>
  <c r="AC6" i="10" s="1"/>
  <c r="AC7" i="10" s="1"/>
  <c r="AC8" i="10" s="1"/>
  <c r="AC9" i="10" s="1"/>
  <c r="AC10" i="10" s="1"/>
  <c r="AC11" i="10" s="1"/>
  <c r="AC12" i="10" s="1"/>
  <c r="AC13" i="10" s="1"/>
  <c r="AC14" i="10" s="1"/>
  <c r="AC15" i="10" s="1"/>
  <c r="E45" i="13"/>
  <c r="E46" i="13" s="1"/>
  <c r="E47" i="13" s="1"/>
  <c r="E48" i="13" s="1"/>
  <c r="E49" i="13" s="1"/>
  <c r="E50" i="13" s="1"/>
  <c r="E51" i="13" s="1"/>
  <c r="E52" i="13" s="1"/>
  <c r="E53" i="13" s="1"/>
  <c r="E54" i="13" s="1"/>
  <c r="E55" i="13" s="1"/>
  <c r="E56" i="13" s="1"/>
  <c r="E57" i="13" s="1"/>
  <c r="E58" i="13" s="1"/>
  <c r="E59" i="13" s="1"/>
  <c r="E60" i="13" s="1"/>
  <c r="E61" i="13" s="1"/>
  <c r="F44" i="13"/>
  <c r="F40" i="13"/>
  <c r="F42" i="13"/>
  <c r="F41" i="13"/>
  <c r="J44" i="13"/>
  <c r="L16" i="11"/>
  <c r="AE43" i="9"/>
  <c r="AL40" i="9"/>
  <c r="AJ41" i="9"/>
  <c r="AQ41" i="9" s="1"/>
  <c r="AM40" i="9"/>
  <c r="AO59" i="9" s="1"/>
  <c r="AK41" i="9"/>
  <c r="C26" i="12"/>
  <c r="S22" i="9"/>
  <c r="P22" i="9"/>
  <c r="AD42" i="9"/>
  <c r="AI42" i="9" s="1"/>
  <c r="AA19" i="9"/>
  <c r="AB19" i="9" s="1"/>
  <c r="AF19" i="9" s="1"/>
  <c r="AQ19" i="9" s="1"/>
  <c r="E90" i="12"/>
  <c r="C59" i="12"/>
  <c r="F59" i="12" s="1"/>
  <c r="M59" i="12" s="1"/>
  <c r="L59" i="12" s="1"/>
  <c r="AK42" i="9"/>
  <c r="C91" i="12"/>
  <c r="F91" i="12" s="1"/>
  <c r="M91" i="12" s="1"/>
  <c r="L91" i="12" s="1"/>
  <c r="AJ42" i="9"/>
  <c r="AQ42" i="9" s="1"/>
  <c r="Z42" i="9"/>
  <c r="AC42" i="9" s="1"/>
  <c r="C27" i="12"/>
  <c r="E58" i="12"/>
  <c r="E59" i="12" s="1"/>
  <c r="AL41" i="9"/>
  <c r="AM41" i="9"/>
  <c r="AO60" i="9" s="1"/>
  <c r="E15" i="11"/>
  <c r="E16" i="11" s="1"/>
  <c r="AP33" i="16"/>
  <c r="AO34" i="16"/>
  <c r="AU34" i="16"/>
  <c r="AV34" i="16" s="1"/>
  <c r="AW34" i="16" s="1"/>
  <c r="AX34" i="16" s="1"/>
  <c r="AQ34" i="16"/>
  <c r="AE36" i="1"/>
  <c r="Z36" i="16"/>
  <c r="AK35" i="16"/>
  <c r="AN35" i="16"/>
  <c r="AM35" i="16" s="1"/>
  <c r="AG44" i="9"/>
  <c r="Z20" i="9"/>
  <c r="AL30" i="1"/>
  <c r="AS28" i="16"/>
  <c r="AS27" i="16"/>
  <c r="AQ31" i="1"/>
  <c r="AR31" i="1" s="1"/>
  <c r="AS31" i="1" s="1"/>
  <c r="AG31" i="1" s="1"/>
  <c r="AH31" i="1" s="1"/>
  <c r="AK31" i="1" s="1"/>
  <c r="Z21" i="10"/>
  <c r="AA21" i="10" s="1"/>
  <c r="F26" i="13"/>
  <c r="M26" i="13" s="1"/>
  <c r="AP43" i="10"/>
  <c r="AL12" i="9"/>
  <c r="F20" i="12"/>
  <c r="M20" i="12" s="1"/>
  <c r="F19" i="12"/>
  <c r="M19" i="12" s="1"/>
  <c r="L19" i="12" s="1"/>
  <c r="E19" i="12"/>
  <c r="E20" i="12" s="1"/>
  <c r="AS36" i="9"/>
  <c r="AR37" i="9"/>
  <c r="AP34" i="9"/>
  <c r="AO35" i="9"/>
  <c r="AR39" i="10"/>
  <c r="AS39" i="10" s="1"/>
  <c r="AQ40" i="10"/>
  <c r="F17" i="11"/>
  <c r="M17" i="11" s="1"/>
  <c r="AP32" i="1"/>
  <c r="Y34" i="1"/>
  <c r="Y12" i="1"/>
  <c r="AT13" i="9"/>
  <c r="AG13" i="9" s="1"/>
  <c r="AH13" i="9" s="1"/>
  <c r="AK13" i="9" s="1"/>
  <c r="AR14" i="9"/>
  <c r="AK8" i="1"/>
  <c r="Z33" i="1"/>
  <c r="Z11" i="1"/>
  <c r="AA11" i="1" s="1"/>
  <c r="AE11" i="1" s="1"/>
  <c r="J21" i="11"/>
  <c r="AA33" i="1"/>
  <c r="AF33" i="1" s="1"/>
  <c r="AP10" i="1"/>
  <c r="AQ10" i="1" s="1"/>
  <c r="AR10" i="1" s="1"/>
  <c r="AS10" i="1" s="1"/>
  <c r="AF10" i="1" s="1"/>
  <c r="AG10" i="1" s="1"/>
  <c r="AJ10" i="1" s="1"/>
  <c r="U12" i="1"/>
  <c r="C19" i="11" s="1"/>
  <c r="P14" i="1"/>
  <c r="R14" i="1"/>
  <c r="W19" i="9"/>
  <c r="V22" i="10"/>
  <c r="E10" i="19" s="1"/>
  <c r="M14" i="1"/>
  <c r="O14" i="1" s="1"/>
  <c r="Y57" i="1" s="1"/>
  <c r="AA57" i="1" s="1"/>
  <c r="AF57" i="1" s="1"/>
  <c r="AP57" i="1" s="1"/>
  <c r="AQ57" i="1" s="1"/>
  <c r="AR57" i="1" s="1"/>
  <c r="AS57" i="1" s="1"/>
  <c r="AG57" i="1" s="1"/>
  <c r="AH57" i="1" s="1"/>
  <c r="AK57" i="1" s="1"/>
  <c r="AL57" i="1" s="1"/>
  <c r="R21" i="9"/>
  <c r="T21" i="9"/>
  <c r="L22" i="9"/>
  <c r="M22" i="9"/>
  <c r="O22" i="9" s="1"/>
  <c r="AE44" i="9" s="1"/>
  <c r="V11" i="1"/>
  <c r="S13" i="1"/>
  <c r="Q13" i="1"/>
  <c r="K15" i="1"/>
  <c r="L14" i="1"/>
  <c r="N14" i="1"/>
  <c r="K44" i="13" l="1"/>
  <c r="M44" i="13" s="1"/>
  <c r="K12" i="13"/>
  <c r="L44" i="13"/>
  <c r="M76" i="13"/>
  <c r="L76" i="13"/>
  <c r="M12" i="13"/>
  <c r="L12" i="13"/>
  <c r="AN40" i="9"/>
  <c r="G45" i="13"/>
  <c r="I45" i="13"/>
  <c r="AC16" i="10"/>
  <c r="AD15" i="10"/>
  <c r="E15" i="13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AD5" i="10"/>
  <c r="AB6" i="10"/>
  <c r="AL37" i="10"/>
  <c r="AF38" i="10"/>
  <c r="G13" i="13"/>
  <c r="I13" i="13"/>
  <c r="G77" i="13"/>
  <c r="I77" i="13"/>
  <c r="P12" i="11"/>
  <c r="L17" i="11"/>
  <c r="AD43" i="9"/>
  <c r="AI43" i="9" s="1"/>
  <c r="AA20" i="9"/>
  <c r="AB20" i="9" s="1"/>
  <c r="AF20" i="9" s="1"/>
  <c r="AQ20" i="9" s="1"/>
  <c r="Z43" i="9"/>
  <c r="AC43" i="9" s="1"/>
  <c r="E91" i="12"/>
  <c r="C92" i="12"/>
  <c r="F92" i="12" s="1"/>
  <c r="M92" i="12" s="1"/>
  <c r="L92" i="12" s="1"/>
  <c r="AJ43" i="9"/>
  <c r="AQ43" i="9" s="1"/>
  <c r="C60" i="12"/>
  <c r="F60" i="12" s="1"/>
  <c r="M60" i="12" s="1"/>
  <c r="L60" i="12" s="1"/>
  <c r="AK43" i="9"/>
  <c r="AN41" i="9"/>
  <c r="AL42" i="9"/>
  <c r="AM42" i="9"/>
  <c r="AO61" i="9" s="1"/>
  <c r="AU35" i="16"/>
  <c r="AV35" i="16" s="1"/>
  <c r="AW35" i="16" s="1"/>
  <c r="AX35" i="16" s="1"/>
  <c r="AQ35" i="16"/>
  <c r="AP34" i="16"/>
  <c r="AO35" i="16"/>
  <c r="AN53" i="16" s="1"/>
  <c r="Z21" i="9"/>
  <c r="AS29" i="16"/>
  <c r="AQ32" i="1"/>
  <c r="AR32" i="1" s="1"/>
  <c r="AS32" i="1" s="1"/>
  <c r="AG32" i="1" s="1"/>
  <c r="AH32" i="1" s="1"/>
  <c r="AK32" i="1" s="1"/>
  <c r="AL31" i="1"/>
  <c r="F27" i="13"/>
  <c r="M27" i="13" s="1"/>
  <c r="AL13" i="9"/>
  <c r="F21" i="12"/>
  <c r="M21" i="12" s="1"/>
  <c r="AP35" i="9"/>
  <c r="L20" i="12"/>
  <c r="AS37" i="9"/>
  <c r="AR38" i="9"/>
  <c r="AT36" i="9"/>
  <c r="AO36" i="9" s="1"/>
  <c r="AR40" i="10"/>
  <c r="AS40" i="10" s="1"/>
  <c r="AQ41" i="10"/>
  <c r="E17" i="11"/>
  <c r="AP11" i="1"/>
  <c r="AQ11" i="1" s="1"/>
  <c r="AR11" i="1" s="1"/>
  <c r="AS11" i="1" s="1"/>
  <c r="AF11" i="1" s="1"/>
  <c r="AG11" i="1" s="1"/>
  <c r="AJ11" i="1" s="1"/>
  <c r="Y35" i="1"/>
  <c r="Y13" i="1"/>
  <c r="AP33" i="1"/>
  <c r="AK9" i="1"/>
  <c r="AS14" i="9"/>
  <c r="AR15" i="9"/>
  <c r="AT14" i="9"/>
  <c r="AG14" i="9" s="1"/>
  <c r="AH14" i="9" s="1"/>
  <c r="AK14" i="9" s="1"/>
  <c r="AA34" i="1"/>
  <c r="AF34" i="1" s="1"/>
  <c r="Z34" i="1"/>
  <c r="Z12" i="1"/>
  <c r="G22" i="11"/>
  <c r="AA12" i="1"/>
  <c r="AE12" i="1" s="1"/>
  <c r="P15" i="1"/>
  <c r="R15" i="1"/>
  <c r="U13" i="1"/>
  <c r="C20" i="11" s="1"/>
  <c r="W20" i="9"/>
  <c r="M15" i="1"/>
  <c r="O15" i="1" s="1"/>
  <c r="Y58" i="1" s="1"/>
  <c r="AA58" i="1" s="1"/>
  <c r="AF58" i="1" s="1"/>
  <c r="AP58" i="1" s="1"/>
  <c r="AQ58" i="1" s="1"/>
  <c r="AR58" i="1" s="1"/>
  <c r="AS58" i="1" s="1"/>
  <c r="AG58" i="1" s="1"/>
  <c r="AH58" i="1" s="1"/>
  <c r="AK58" i="1" s="1"/>
  <c r="AL58" i="1" s="1"/>
  <c r="R22" i="9"/>
  <c r="T22" i="9"/>
  <c r="V12" i="1"/>
  <c r="Q14" i="1"/>
  <c r="S14" i="1"/>
  <c r="K16" i="1"/>
  <c r="L15" i="1"/>
  <c r="N15" i="1"/>
  <c r="I78" i="13" l="1"/>
  <c r="M77" i="13"/>
  <c r="H77" i="13"/>
  <c r="J77" i="13" s="1"/>
  <c r="G78" i="13" s="1"/>
  <c r="Z27" i="10"/>
  <c r="AB27" i="10" s="1"/>
  <c r="H13" i="13"/>
  <c r="I14" i="13"/>
  <c r="M13" i="13"/>
  <c r="L13" i="13" s="1"/>
  <c r="AL38" i="10"/>
  <c r="AF39" i="10"/>
  <c r="AD6" i="10"/>
  <c r="AB7" i="10"/>
  <c r="P12" i="13"/>
  <c r="AH15" i="10"/>
  <c r="AE15" i="10"/>
  <c r="AO15" i="10" s="1"/>
  <c r="H45" i="13"/>
  <c r="J45" i="13" s="1"/>
  <c r="G46" i="13" s="1"/>
  <c r="I46" i="13"/>
  <c r="M45" i="13"/>
  <c r="Q12" i="13"/>
  <c r="AA13" i="19" s="1"/>
  <c r="W43" i="19" s="1"/>
  <c r="AN56" i="10"/>
  <c r="AH5" i="10"/>
  <c r="AE5" i="10"/>
  <c r="AO5" i="10" s="1"/>
  <c r="AP5" i="10" s="1"/>
  <c r="AQ5" i="10" s="1"/>
  <c r="AR5" i="10" s="1"/>
  <c r="AF5" i="10" s="1"/>
  <c r="AG5" i="10" s="1"/>
  <c r="AD16" i="10"/>
  <c r="AC17" i="10"/>
  <c r="C28" i="12"/>
  <c r="AD44" i="9"/>
  <c r="AI44" i="9" s="1"/>
  <c r="AA21" i="9"/>
  <c r="AB21" i="9" s="1"/>
  <c r="AF21" i="9" s="1"/>
  <c r="AQ21" i="9" s="1"/>
  <c r="C61" i="12"/>
  <c r="E60" i="12"/>
  <c r="E92" i="12"/>
  <c r="AL43" i="9"/>
  <c r="AM43" i="9"/>
  <c r="AO62" i="9" s="1"/>
  <c r="C29" i="12"/>
  <c r="U33" i="9"/>
  <c r="AN42" i="9"/>
  <c r="H22" i="11"/>
  <c r="H23" i="11" s="1"/>
  <c r="AA36" i="16"/>
  <c r="AP35" i="16"/>
  <c r="AS30" i="16"/>
  <c r="AQ33" i="1"/>
  <c r="AR33" i="1" s="1"/>
  <c r="AS33" i="1" s="1"/>
  <c r="AG33" i="1" s="1"/>
  <c r="AH33" i="1" s="1"/>
  <c r="AK33" i="1" s="1"/>
  <c r="AL32" i="1"/>
  <c r="AS31" i="16"/>
  <c r="E27" i="13"/>
  <c r="F28" i="13"/>
  <c r="M28" i="13" s="1"/>
  <c r="E21" i="12"/>
  <c r="AP36" i="9"/>
  <c r="L21" i="12"/>
  <c r="AL14" i="9"/>
  <c r="F22" i="12"/>
  <c r="M22" i="12" s="1"/>
  <c r="AS38" i="9"/>
  <c r="AT38" i="9" s="1"/>
  <c r="AR39" i="9"/>
  <c r="AT37" i="9"/>
  <c r="AO37" i="9" s="1"/>
  <c r="AQ42" i="10"/>
  <c r="AR41" i="10"/>
  <c r="AS41" i="10" s="1"/>
  <c r="F19" i="11"/>
  <c r="M19" i="11" s="1"/>
  <c r="AP12" i="1"/>
  <c r="AQ12" i="1" s="1"/>
  <c r="AR12" i="1" s="1"/>
  <c r="AS12" i="1" s="1"/>
  <c r="AF12" i="1" s="1"/>
  <c r="AG12" i="1" s="1"/>
  <c r="AJ12" i="1" s="1"/>
  <c r="AS15" i="9"/>
  <c r="AT15" i="9" s="1"/>
  <c r="AG15" i="9" s="1"/>
  <c r="AH15" i="9" s="1"/>
  <c r="AK15" i="9" s="1"/>
  <c r="AR16" i="9"/>
  <c r="Z35" i="1"/>
  <c r="AA35" i="1" s="1"/>
  <c r="AF35" i="1" s="1"/>
  <c r="AP35" i="1" s="1"/>
  <c r="Z13" i="1"/>
  <c r="Y36" i="1"/>
  <c r="Y14" i="1"/>
  <c r="J22" i="11"/>
  <c r="AK10" i="1"/>
  <c r="AP34" i="1"/>
  <c r="AA13" i="1"/>
  <c r="AE13" i="1" s="1"/>
  <c r="E18" i="11"/>
  <c r="F18" i="11"/>
  <c r="M18" i="11" s="1"/>
  <c r="U14" i="1"/>
  <c r="C21" i="11" s="1"/>
  <c r="P16" i="1"/>
  <c r="R16" i="1"/>
  <c r="M16" i="1"/>
  <c r="O16" i="1" s="1"/>
  <c r="Y59" i="1" s="1"/>
  <c r="AA59" i="1" s="1"/>
  <c r="AF59" i="1" s="1"/>
  <c r="AP59" i="1" s="1"/>
  <c r="AQ59" i="1" s="1"/>
  <c r="AR59" i="1" s="1"/>
  <c r="AS59" i="1" s="1"/>
  <c r="AG59" i="1" s="1"/>
  <c r="AH59" i="1" s="1"/>
  <c r="AK59" i="1" s="1"/>
  <c r="AL59" i="1" s="1"/>
  <c r="W21" i="9"/>
  <c r="V13" i="1"/>
  <c r="S15" i="1"/>
  <c r="Q15" i="1"/>
  <c r="K17" i="1"/>
  <c r="L16" i="1"/>
  <c r="N16" i="1"/>
  <c r="AJ5" i="10" l="1"/>
  <c r="AK5" i="10" s="1"/>
  <c r="AH16" i="10"/>
  <c r="AE16" i="10"/>
  <c r="AO16" i="10" s="1"/>
  <c r="L45" i="13"/>
  <c r="R12" i="13" s="1"/>
  <c r="AD7" i="10"/>
  <c r="AB8" i="10"/>
  <c r="AL39" i="10"/>
  <c r="AF40" i="10"/>
  <c r="J13" i="13"/>
  <c r="G14" i="13" s="1"/>
  <c r="M78" i="13"/>
  <c r="H78" i="13"/>
  <c r="J78" i="13" s="1"/>
  <c r="G79" i="13" s="1"/>
  <c r="I79" i="13"/>
  <c r="AD17" i="10"/>
  <c r="AC18" i="10"/>
  <c r="I47" i="13"/>
  <c r="H46" i="13"/>
  <c r="J46" i="13" s="1"/>
  <c r="G47" i="13" s="1"/>
  <c r="M46" i="13"/>
  <c r="AH6" i="10"/>
  <c r="AE6" i="10"/>
  <c r="AO6" i="10" s="1"/>
  <c r="AP6" i="10" s="1"/>
  <c r="AQ6" i="10" s="1"/>
  <c r="AR6" i="10" s="1"/>
  <c r="AF6" i="10" s="1"/>
  <c r="AG6" i="10" s="1"/>
  <c r="AN57" i="10"/>
  <c r="Z28" i="10"/>
  <c r="AB28" i="10" s="1"/>
  <c r="I15" i="13"/>
  <c r="H14" i="13"/>
  <c r="J14" i="13" s="1"/>
  <c r="G15" i="13" s="1"/>
  <c r="M14" i="13"/>
  <c r="L14" i="13" s="1"/>
  <c r="AL27" i="10"/>
  <c r="AK27" i="10"/>
  <c r="L77" i="13"/>
  <c r="S12" i="13" s="1"/>
  <c r="AB13" i="19" s="1"/>
  <c r="X43" i="19" s="1"/>
  <c r="L18" i="11"/>
  <c r="L19" i="11" s="1"/>
  <c r="AN43" i="9"/>
  <c r="AJ44" i="9"/>
  <c r="AQ44" i="9" s="1"/>
  <c r="AK44" i="9"/>
  <c r="U34" i="9"/>
  <c r="P10" i="13" s="1"/>
  <c r="U31" i="9"/>
  <c r="C93" i="12"/>
  <c r="C94" i="12" s="1"/>
  <c r="C95" i="12" s="1"/>
  <c r="Z44" i="9"/>
  <c r="AC44" i="9" s="1"/>
  <c r="E93" i="12"/>
  <c r="F61" i="12"/>
  <c r="M61" i="12" s="1"/>
  <c r="C62" i="12"/>
  <c r="C63" i="12" s="1"/>
  <c r="E61" i="12"/>
  <c r="AC36" i="16"/>
  <c r="AH36" i="16" s="1"/>
  <c r="AB36" i="16"/>
  <c r="AQ34" i="1"/>
  <c r="AR34" i="1" s="1"/>
  <c r="AS34" i="1" s="1"/>
  <c r="AG34" i="1" s="1"/>
  <c r="AH34" i="1" s="1"/>
  <c r="AK34" i="1" s="1"/>
  <c r="AL33" i="1"/>
  <c r="AS32" i="16"/>
  <c r="F29" i="13"/>
  <c r="M29" i="13" s="1"/>
  <c r="E28" i="13"/>
  <c r="E29" i="13" s="1"/>
  <c r="L22" i="12"/>
  <c r="E22" i="12"/>
  <c r="AR40" i="9"/>
  <c r="AS39" i="9"/>
  <c r="AL15" i="9"/>
  <c r="F23" i="12"/>
  <c r="M23" i="12" s="1"/>
  <c r="AO38" i="9"/>
  <c r="AP37" i="9"/>
  <c r="AR42" i="10"/>
  <c r="AS42" i="10" s="1"/>
  <c r="AQ43" i="10"/>
  <c r="AR43" i="10" s="1"/>
  <c r="AS43" i="10" s="1"/>
  <c r="E19" i="11"/>
  <c r="E20" i="11" s="1"/>
  <c r="AP13" i="1"/>
  <c r="AQ13" i="1" s="1"/>
  <c r="AR13" i="1" s="1"/>
  <c r="AS13" i="1" s="1"/>
  <c r="AF13" i="1" s="1"/>
  <c r="AG13" i="1" s="1"/>
  <c r="AJ13" i="1" s="1"/>
  <c r="Z36" i="1"/>
  <c r="AA36" i="1" s="1"/>
  <c r="AF36" i="1" s="1"/>
  <c r="AP36" i="1" s="1"/>
  <c r="Z14" i="1"/>
  <c r="Y37" i="1"/>
  <c r="Y15" i="1"/>
  <c r="AK11" i="1"/>
  <c r="U15" i="1"/>
  <c r="C22" i="11" s="1"/>
  <c r="AA14" i="1"/>
  <c r="AE14" i="1" s="1"/>
  <c r="AS16" i="9"/>
  <c r="AT16" i="9" s="1"/>
  <c r="AG16" i="9" s="1"/>
  <c r="AH16" i="9" s="1"/>
  <c r="AK16" i="9" s="1"/>
  <c r="AR17" i="9"/>
  <c r="F20" i="11"/>
  <c r="M20" i="11" s="1"/>
  <c r="P17" i="1"/>
  <c r="R17" i="1"/>
  <c r="W22" i="9"/>
  <c r="V14" i="1"/>
  <c r="V15" i="1" s="1"/>
  <c r="K18" i="1"/>
  <c r="L17" i="1"/>
  <c r="M17" i="1"/>
  <c r="O17" i="1" s="1"/>
  <c r="Y60" i="1" s="1"/>
  <c r="AA60" i="1" s="1"/>
  <c r="AF60" i="1" s="1"/>
  <c r="AP60" i="1" s="1"/>
  <c r="AQ60" i="1" s="1"/>
  <c r="AR60" i="1" s="1"/>
  <c r="AS60" i="1" s="1"/>
  <c r="AG60" i="1" s="1"/>
  <c r="AH60" i="1" s="1"/>
  <c r="AK60" i="1" s="1"/>
  <c r="AL60" i="1" s="1"/>
  <c r="Q16" i="1"/>
  <c r="S16" i="1"/>
  <c r="N17" i="1"/>
  <c r="Z29" i="10" l="1"/>
  <c r="AB29" i="10" s="1"/>
  <c r="H15" i="13"/>
  <c r="J15" i="13" s="1"/>
  <c r="G16" i="13" s="1"/>
  <c r="I16" i="13"/>
  <c r="M15" i="13"/>
  <c r="L15" i="13" s="1"/>
  <c r="AJ6" i="10"/>
  <c r="AK6" i="10" s="1"/>
  <c r="AH17" i="10"/>
  <c r="AE17" i="10"/>
  <c r="AO17" i="10" s="1"/>
  <c r="M79" i="13"/>
  <c r="I80" i="13"/>
  <c r="H79" i="13"/>
  <c r="J79" i="13" s="1"/>
  <c r="G80" i="13" s="1"/>
  <c r="L78" i="13"/>
  <c r="AN58" i="10"/>
  <c r="AE7" i="10"/>
  <c r="AO7" i="10" s="1"/>
  <c r="AP7" i="10" s="1"/>
  <c r="AQ7" i="10" s="1"/>
  <c r="AR7" i="10" s="1"/>
  <c r="AF7" i="10" s="1"/>
  <c r="AG7" i="10" s="1"/>
  <c r="AH7" i="10"/>
  <c r="L20" i="11"/>
  <c r="AN46" i="10"/>
  <c r="AM27" i="10"/>
  <c r="AL28" i="10"/>
  <c r="AK28" i="10"/>
  <c r="L46" i="13"/>
  <c r="I48" i="13"/>
  <c r="H47" i="13"/>
  <c r="J47" i="13" s="1"/>
  <c r="G48" i="13" s="1"/>
  <c r="M47" i="13"/>
  <c r="L47" i="13" s="1"/>
  <c r="AD18" i="10"/>
  <c r="AC19" i="10"/>
  <c r="AL40" i="10"/>
  <c r="AF41" i="10"/>
  <c r="AD8" i="10"/>
  <c r="AB9" i="10"/>
  <c r="F93" i="12"/>
  <c r="M93" i="12" s="1"/>
  <c r="L93" i="12" s="1"/>
  <c r="Z14" i="19" s="1"/>
  <c r="X46" i="19" s="1"/>
  <c r="AL44" i="9"/>
  <c r="P10" i="12"/>
  <c r="U35" i="9"/>
  <c r="P11" i="12" s="1"/>
  <c r="AM44" i="9"/>
  <c r="AO63" i="9" s="1"/>
  <c r="AM52" i="9" s="1"/>
  <c r="R10" i="12"/>
  <c r="R11" i="12" s="1"/>
  <c r="M62" i="12"/>
  <c r="L61" i="12"/>
  <c r="M94" i="12"/>
  <c r="S10" i="12"/>
  <c r="AM48" i="9"/>
  <c r="P11" i="13"/>
  <c r="AN44" i="9"/>
  <c r="L23" i="12"/>
  <c r="AL34" i="1"/>
  <c r="AN36" i="16"/>
  <c r="AK36" i="16"/>
  <c r="AQ35" i="1"/>
  <c r="AR35" i="1" s="1"/>
  <c r="AS35" i="1" s="1"/>
  <c r="AG35" i="1" s="1"/>
  <c r="AH35" i="1" s="1"/>
  <c r="AK35" i="1" s="1"/>
  <c r="AS33" i="16"/>
  <c r="R30" i="10"/>
  <c r="E5" i="19" s="1"/>
  <c r="AP38" i="9"/>
  <c r="AT39" i="9"/>
  <c r="AO39" i="9" s="1"/>
  <c r="AL16" i="9"/>
  <c r="F24" i="12"/>
  <c r="M24" i="12" s="1"/>
  <c r="E23" i="12"/>
  <c r="AS40" i="9"/>
  <c r="AT40" i="9" s="1"/>
  <c r="AR41" i="9"/>
  <c r="F21" i="11"/>
  <c r="M21" i="11" s="1"/>
  <c r="L21" i="11" s="1"/>
  <c r="E21" i="11"/>
  <c r="Z37" i="1"/>
  <c r="Z15" i="1"/>
  <c r="Y38" i="1"/>
  <c r="Y16" i="1"/>
  <c r="AP14" i="1"/>
  <c r="AQ14" i="1" s="1"/>
  <c r="AR14" i="1" s="1"/>
  <c r="AS14" i="1" s="1"/>
  <c r="AF14" i="1" s="1"/>
  <c r="AG14" i="1" s="1"/>
  <c r="AJ14" i="1" s="1"/>
  <c r="AA15" i="1"/>
  <c r="AE15" i="1" s="1"/>
  <c r="AP15" i="1" s="1"/>
  <c r="AS17" i="9"/>
  <c r="AT17" i="9" s="1"/>
  <c r="AG17" i="9" s="1"/>
  <c r="AH17" i="9" s="1"/>
  <c r="AK17" i="9" s="1"/>
  <c r="AR18" i="9"/>
  <c r="AK12" i="1"/>
  <c r="AA37" i="1"/>
  <c r="AF37" i="1" s="1"/>
  <c r="AP37" i="1" s="1"/>
  <c r="U16" i="1"/>
  <c r="C23" i="11" s="1"/>
  <c r="P18" i="1"/>
  <c r="R18" i="1"/>
  <c r="V16" i="1"/>
  <c r="K19" i="1"/>
  <c r="L18" i="1"/>
  <c r="M18" i="1"/>
  <c r="O18" i="1" s="1"/>
  <c r="Y61" i="1" s="1"/>
  <c r="AA61" i="1" s="1"/>
  <c r="AF61" i="1" s="1"/>
  <c r="AP61" i="1" s="1"/>
  <c r="AQ61" i="1" s="1"/>
  <c r="AR61" i="1" s="1"/>
  <c r="AS61" i="1" s="1"/>
  <c r="AG61" i="1" s="1"/>
  <c r="AH61" i="1" s="1"/>
  <c r="AK61" i="1" s="1"/>
  <c r="AL61" i="1" s="1"/>
  <c r="S17" i="1"/>
  <c r="Q17" i="1"/>
  <c r="N18" i="1"/>
  <c r="AM28" i="10" l="1"/>
  <c r="S11" i="12"/>
  <c r="Z12" i="19" s="1"/>
  <c r="X38" i="19" s="1"/>
  <c r="Z11" i="19"/>
  <c r="X34" i="19" s="1"/>
  <c r="AH8" i="10"/>
  <c r="AE8" i="10"/>
  <c r="AO8" i="10" s="1"/>
  <c r="AP8" i="10" s="1"/>
  <c r="AQ8" i="10" s="1"/>
  <c r="AR8" i="10" s="1"/>
  <c r="AF8" i="10" s="1"/>
  <c r="AG8" i="10" s="1"/>
  <c r="AN59" i="10"/>
  <c r="AD19" i="10"/>
  <c r="AC20" i="10"/>
  <c r="M48" i="13"/>
  <c r="I49" i="13"/>
  <c r="H48" i="13"/>
  <c r="J48" i="13" s="1"/>
  <c r="G49" i="13" s="1"/>
  <c r="AN47" i="10"/>
  <c r="AJ7" i="10"/>
  <c r="AK7" i="10" s="1"/>
  <c r="I81" i="13"/>
  <c r="H80" i="13"/>
  <c r="J80" i="13" s="1"/>
  <c r="G81" i="13" s="1"/>
  <c r="H81" i="13" s="1"/>
  <c r="J81" i="13" s="1"/>
  <c r="G82" i="13" s="1"/>
  <c r="M80" i="13"/>
  <c r="Z30" i="10"/>
  <c r="AB30" i="10" s="1"/>
  <c r="I17" i="13"/>
  <c r="H16" i="13"/>
  <c r="M16" i="13"/>
  <c r="L16" i="13" s="1"/>
  <c r="AL29" i="10"/>
  <c r="AN48" i="10" s="1"/>
  <c r="AK29" i="10"/>
  <c r="AN27" i="10"/>
  <c r="AO27" i="10" s="1"/>
  <c r="AD9" i="10"/>
  <c r="AB10" i="10"/>
  <c r="AL41" i="10"/>
  <c r="AF42" i="10"/>
  <c r="AH18" i="10"/>
  <c r="AE18" i="10"/>
  <c r="AO18" i="10" s="1"/>
  <c r="AN28" i="10"/>
  <c r="L79" i="13"/>
  <c r="P17" i="12"/>
  <c r="AM49" i="9"/>
  <c r="P18" i="12" s="1"/>
  <c r="AM51" i="9"/>
  <c r="P20" i="12" s="1"/>
  <c r="M95" i="12"/>
  <c r="S7" i="12" s="1"/>
  <c r="S6" i="12"/>
  <c r="M63" i="12"/>
  <c r="R7" i="12" s="1"/>
  <c r="R8" i="12" s="1"/>
  <c r="R6" i="12"/>
  <c r="R9" i="12" s="1"/>
  <c r="AM53" i="9"/>
  <c r="P22" i="12" s="1"/>
  <c r="P21" i="12"/>
  <c r="AL35" i="1"/>
  <c r="AM36" i="16"/>
  <c r="AN51" i="16" s="1"/>
  <c r="AN47" i="16"/>
  <c r="AQ36" i="16"/>
  <c r="AU36" i="16"/>
  <c r="AV36" i="16" s="1"/>
  <c r="AO36" i="16"/>
  <c r="P23" i="11" s="1"/>
  <c r="AQ36" i="1"/>
  <c r="AR36" i="1" s="1"/>
  <c r="AS36" i="1" s="1"/>
  <c r="AG36" i="1" s="1"/>
  <c r="AH36" i="1" s="1"/>
  <c r="AK36" i="1" s="1"/>
  <c r="AL36" i="1" s="1"/>
  <c r="E24" i="12"/>
  <c r="L24" i="12"/>
  <c r="AP39" i="9"/>
  <c r="AO40" i="9"/>
  <c r="AL17" i="9"/>
  <c r="AS41" i="9"/>
  <c r="AT41" i="9" s="1"/>
  <c r="AR42" i="9"/>
  <c r="AQ15" i="1"/>
  <c r="AR15" i="1" s="1"/>
  <c r="AS15" i="1" s="1"/>
  <c r="AF15" i="1" s="1"/>
  <c r="AG15" i="1" s="1"/>
  <c r="AJ15" i="1" s="1"/>
  <c r="F23" i="11" s="1"/>
  <c r="M23" i="11" s="1"/>
  <c r="F22" i="11"/>
  <c r="M22" i="11" s="1"/>
  <c r="L22" i="11" s="1"/>
  <c r="E22" i="11"/>
  <c r="Y39" i="1"/>
  <c r="Y17" i="1"/>
  <c r="Z38" i="1"/>
  <c r="Z16" i="1"/>
  <c r="AA16" i="1" s="1"/>
  <c r="AE16" i="1" s="1"/>
  <c r="AP16" i="1" s="1"/>
  <c r="U17" i="1"/>
  <c r="C24" i="11" s="1"/>
  <c r="AK13" i="1"/>
  <c r="AS18" i="9"/>
  <c r="AT18" i="9" s="1"/>
  <c r="AG18" i="9" s="1"/>
  <c r="AH18" i="9" s="1"/>
  <c r="AK18" i="9" s="1"/>
  <c r="AR19" i="9"/>
  <c r="AA38" i="1"/>
  <c r="AF38" i="1" s="1"/>
  <c r="AP38" i="1" s="1"/>
  <c r="P19" i="1"/>
  <c r="R19" i="1"/>
  <c r="M19" i="1"/>
  <c r="O19" i="1" s="1"/>
  <c r="Y62" i="1" s="1"/>
  <c r="AA62" i="1" s="1"/>
  <c r="AF62" i="1" s="1"/>
  <c r="AP62" i="1" s="1"/>
  <c r="AQ62" i="1" s="1"/>
  <c r="AR62" i="1" s="1"/>
  <c r="AS62" i="1" s="1"/>
  <c r="AG62" i="1" s="1"/>
  <c r="AH62" i="1" s="1"/>
  <c r="AK62" i="1" s="1"/>
  <c r="AL62" i="1" s="1"/>
  <c r="Q18" i="1"/>
  <c r="S18" i="1"/>
  <c r="K20" i="1"/>
  <c r="L19" i="1"/>
  <c r="N19" i="1"/>
  <c r="AM29" i="10" l="1"/>
  <c r="AN29" i="10" s="1"/>
  <c r="AO28" i="10"/>
  <c r="AJ8" i="10"/>
  <c r="AK8" i="10" s="1"/>
  <c r="S8" i="12"/>
  <c r="Z9" i="19" s="1"/>
  <c r="X26" i="19" s="1"/>
  <c r="Z8" i="19"/>
  <c r="X22" i="19" s="1"/>
  <c r="S9" i="12"/>
  <c r="Z10" i="19" s="1"/>
  <c r="X30" i="19" s="1"/>
  <c r="Z7" i="19"/>
  <c r="X18" i="19" s="1"/>
  <c r="AL42" i="10"/>
  <c r="AF43" i="10"/>
  <c r="AL43" i="10" s="1"/>
  <c r="AB11" i="10"/>
  <c r="AD10" i="10"/>
  <c r="J16" i="13"/>
  <c r="G17" i="13" s="1"/>
  <c r="H17" i="13" s="1"/>
  <c r="AK30" i="10"/>
  <c r="AL30" i="10"/>
  <c r="M49" i="13"/>
  <c r="I50" i="13"/>
  <c r="H49" i="13"/>
  <c r="J49" i="13" s="1"/>
  <c r="G50" i="13" s="1"/>
  <c r="AD20" i="10"/>
  <c r="AC21" i="10"/>
  <c r="AD21" i="10" s="1"/>
  <c r="AN60" i="10"/>
  <c r="AE9" i="10"/>
  <c r="AO9" i="10" s="1"/>
  <c r="AP9" i="10" s="1"/>
  <c r="AQ9" i="10" s="1"/>
  <c r="AR9" i="10" s="1"/>
  <c r="AF9" i="10" s="1"/>
  <c r="AG9" i="10" s="1"/>
  <c r="AH9" i="10"/>
  <c r="Z31" i="10"/>
  <c r="AB31" i="10" s="1"/>
  <c r="I18" i="13"/>
  <c r="M17" i="13"/>
  <c r="L17" i="13" s="1"/>
  <c r="L80" i="13"/>
  <c r="M81" i="13"/>
  <c r="I82" i="13"/>
  <c r="L48" i="13"/>
  <c r="AH19" i="10"/>
  <c r="AE19" i="10"/>
  <c r="AO19" i="10" s="1"/>
  <c r="L23" i="11"/>
  <c r="AN52" i="16"/>
  <c r="P22" i="11" s="1"/>
  <c r="P21" i="11"/>
  <c r="P17" i="11"/>
  <c r="AN50" i="16"/>
  <c r="P20" i="11" s="1"/>
  <c r="AN48" i="16"/>
  <c r="AQ37" i="1"/>
  <c r="AR37" i="1" s="1"/>
  <c r="AS37" i="1" s="1"/>
  <c r="AG37" i="1" s="1"/>
  <c r="AH37" i="1" s="1"/>
  <c r="AK37" i="1" s="1"/>
  <c r="AL37" i="1" s="1"/>
  <c r="AP36" i="16"/>
  <c r="AS36" i="16" s="1"/>
  <c r="AO37" i="16"/>
  <c r="AV37" i="16"/>
  <c r="AW36" i="16"/>
  <c r="AX36" i="16" s="1"/>
  <c r="AS34" i="16"/>
  <c r="AS35" i="16"/>
  <c r="E23" i="11"/>
  <c r="AQ16" i="1"/>
  <c r="AR16" i="1" s="1"/>
  <c r="AS16" i="1" s="1"/>
  <c r="AF16" i="1" s="1"/>
  <c r="AG16" i="1" s="1"/>
  <c r="AJ16" i="1" s="1"/>
  <c r="AL18" i="9"/>
  <c r="F26" i="12"/>
  <c r="M26" i="12" s="1"/>
  <c r="AP40" i="9"/>
  <c r="AO41" i="9"/>
  <c r="F25" i="12"/>
  <c r="M25" i="12" s="1"/>
  <c r="L25" i="12" s="1"/>
  <c r="E25" i="12"/>
  <c r="E26" i="12" s="1"/>
  <c r="AS42" i="9"/>
  <c r="AT42" i="9" s="1"/>
  <c r="AR43" i="9"/>
  <c r="Z39" i="1"/>
  <c r="Z17" i="1"/>
  <c r="AA17" i="1" s="1"/>
  <c r="AE17" i="1" s="1"/>
  <c r="AP17" i="1" s="1"/>
  <c r="U18" i="1"/>
  <c r="C25" i="11" s="1"/>
  <c r="Y40" i="1"/>
  <c r="Y18" i="1"/>
  <c r="AS19" i="9"/>
  <c r="AT19" i="9" s="1"/>
  <c r="AG19" i="9" s="1"/>
  <c r="AH19" i="9" s="1"/>
  <c r="AK19" i="9" s="1"/>
  <c r="AR20" i="9"/>
  <c r="AK14" i="1"/>
  <c r="AA39" i="1"/>
  <c r="AF39" i="1" s="1"/>
  <c r="AP39" i="1" s="1"/>
  <c r="P20" i="1"/>
  <c r="R20" i="1"/>
  <c r="V17" i="1"/>
  <c r="M20" i="1"/>
  <c r="O20" i="1" s="1"/>
  <c r="Y63" i="1" s="1"/>
  <c r="AA63" i="1" s="1"/>
  <c r="AF63" i="1" s="1"/>
  <c r="AP63" i="1" s="1"/>
  <c r="AQ63" i="1" s="1"/>
  <c r="AR63" i="1" s="1"/>
  <c r="AS63" i="1" s="1"/>
  <c r="AG63" i="1" s="1"/>
  <c r="AH63" i="1" s="1"/>
  <c r="AK63" i="1" s="1"/>
  <c r="AL63" i="1" s="1"/>
  <c r="S19" i="1"/>
  <c r="Q19" i="1"/>
  <c r="K21" i="1"/>
  <c r="L20" i="1"/>
  <c r="N20" i="1"/>
  <c r="AO29" i="10" l="1"/>
  <c r="AJ9" i="10"/>
  <c r="AK9" i="10" s="1"/>
  <c r="J17" i="13"/>
  <c r="G18" i="13" s="1"/>
  <c r="H82" i="13"/>
  <c r="J82" i="13" s="1"/>
  <c r="G83" i="13" s="1"/>
  <c r="M82" i="13"/>
  <c r="I83" i="13"/>
  <c r="Z32" i="10"/>
  <c r="AB32" i="10" s="1"/>
  <c r="I19" i="13"/>
  <c r="H18" i="13"/>
  <c r="J18" i="13" s="1"/>
  <c r="G19" i="13" s="1"/>
  <c r="M18" i="13"/>
  <c r="L18" i="13" s="1"/>
  <c r="AH21" i="10"/>
  <c r="AE21" i="10"/>
  <c r="AO21" i="10" s="1"/>
  <c r="L49" i="13"/>
  <c r="AH10" i="10"/>
  <c r="AE10" i="10"/>
  <c r="AO10" i="10" s="1"/>
  <c r="AP10" i="10" s="1"/>
  <c r="AQ10" i="10" s="1"/>
  <c r="AR10" i="10" s="1"/>
  <c r="AF10" i="10" s="1"/>
  <c r="AG10" i="10" s="1"/>
  <c r="AN62" i="10"/>
  <c r="L81" i="13"/>
  <c r="AK31" i="10"/>
  <c r="AL31" i="10"/>
  <c r="AH20" i="10"/>
  <c r="AE20" i="10"/>
  <c r="AO20" i="10" s="1"/>
  <c r="M50" i="13"/>
  <c r="I51" i="13"/>
  <c r="H50" i="13"/>
  <c r="J50" i="13" s="1"/>
  <c r="G51" i="13" s="1"/>
  <c r="AM30" i="10"/>
  <c r="AN49" i="10"/>
  <c r="AB12" i="10"/>
  <c r="AD11" i="10"/>
  <c r="AN61" i="10"/>
  <c r="AQ38" i="1"/>
  <c r="AR38" i="1" s="1"/>
  <c r="AS38" i="1" s="1"/>
  <c r="AG38" i="1" s="1"/>
  <c r="AH38" i="1" s="1"/>
  <c r="AK38" i="1" s="1"/>
  <c r="AL38" i="1" s="1"/>
  <c r="AN49" i="16"/>
  <c r="P19" i="11" s="1"/>
  <c r="P18" i="11"/>
  <c r="AV38" i="16"/>
  <c r="AW37" i="16"/>
  <c r="AX37" i="16" s="1"/>
  <c r="AP37" i="16"/>
  <c r="AO38" i="16"/>
  <c r="AQ17" i="1"/>
  <c r="AR17" i="1" s="1"/>
  <c r="AS17" i="1" s="1"/>
  <c r="AF17" i="1" s="1"/>
  <c r="AG17" i="1" s="1"/>
  <c r="AJ17" i="1" s="1"/>
  <c r="F25" i="11" s="1"/>
  <c r="M25" i="11" s="1"/>
  <c r="AQ39" i="1"/>
  <c r="AR39" i="1" s="1"/>
  <c r="AS39" i="1" s="1"/>
  <c r="AG39" i="1" s="1"/>
  <c r="AH39" i="1" s="1"/>
  <c r="AK39" i="1" s="1"/>
  <c r="AS37" i="16"/>
  <c r="AP41" i="9"/>
  <c r="AL19" i="9"/>
  <c r="E27" i="12"/>
  <c r="AR44" i="9"/>
  <c r="AS43" i="9"/>
  <c r="L26" i="12"/>
  <c r="AO42" i="9"/>
  <c r="Y41" i="1"/>
  <c r="Y19" i="1"/>
  <c r="AK15" i="1"/>
  <c r="AS20" i="9"/>
  <c r="AT20" i="9" s="1"/>
  <c r="AG20" i="9" s="1"/>
  <c r="AH20" i="9" s="1"/>
  <c r="AK20" i="9" s="1"/>
  <c r="AR21" i="9"/>
  <c r="AA40" i="1"/>
  <c r="AF40" i="1" s="1"/>
  <c r="AP40" i="1" s="1"/>
  <c r="Z40" i="1"/>
  <c r="Z18" i="1"/>
  <c r="AA18" i="1" s="1"/>
  <c r="AE18" i="1" s="1"/>
  <c r="AP18" i="1" s="1"/>
  <c r="AQ18" i="1" s="1"/>
  <c r="AR18" i="1" s="1"/>
  <c r="AS18" i="1" s="1"/>
  <c r="AF18" i="1" s="1"/>
  <c r="AG18" i="1" s="1"/>
  <c r="AJ18" i="1" s="1"/>
  <c r="U19" i="1"/>
  <c r="C26" i="11" s="1"/>
  <c r="P21" i="1"/>
  <c r="R21" i="1"/>
  <c r="V18" i="1"/>
  <c r="F24" i="11"/>
  <c r="M24" i="11" s="1"/>
  <c r="L24" i="11" s="1"/>
  <c r="L25" i="11" s="1"/>
  <c r="E24" i="11"/>
  <c r="E25" i="11" s="1"/>
  <c r="M21" i="1"/>
  <c r="O21" i="1" s="1"/>
  <c r="Y64" i="1" s="1"/>
  <c r="AA64" i="1" s="1"/>
  <c r="AF64" i="1" s="1"/>
  <c r="AP64" i="1" s="1"/>
  <c r="AQ64" i="1" s="1"/>
  <c r="AR64" i="1" s="1"/>
  <c r="AS64" i="1" s="1"/>
  <c r="AG64" i="1" s="1"/>
  <c r="AH64" i="1" s="1"/>
  <c r="AK64" i="1" s="1"/>
  <c r="AL64" i="1" s="1"/>
  <c r="K22" i="1"/>
  <c r="L21" i="1"/>
  <c r="Q20" i="1"/>
  <c r="S20" i="1"/>
  <c r="N21" i="1"/>
  <c r="AJ10" i="10" l="1"/>
  <c r="AK10" i="10" s="1"/>
  <c r="AH11" i="10"/>
  <c r="AE11" i="10"/>
  <c r="AO11" i="10" s="1"/>
  <c r="AP11" i="10" s="1"/>
  <c r="AQ11" i="10" s="1"/>
  <c r="AR11" i="10" s="1"/>
  <c r="AF11" i="10" s="1"/>
  <c r="AG11" i="10" s="1"/>
  <c r="AN30" i="10"/>
  <c r="AO30" i="10" s="1"/>
  <c r="AM31" i="10"/>
  <c r="M51" i="13"/>
  <c r="H51" i="13"/>
  <c r="J51" i="13" s="1"/>
  <c r="G52" i="13" s="1"/>
  <c r="I52" i="13"/>
  <c r="AN50" i="10"/>
  <c r="AK32" i="10"/>
  <c r="AL32" i="10"/>
  <c r="AN51" i="10" s="1"/>
  <c r="L82" i="13"/>
  <c r="AB13" i="10"/>
  <c r="AD12" i="10"/>
  <c r="L50" i="13"/>
  <c r="Z33" i="10"/>
  <c r="AB33" i="10" s="1"/>
  <c r="I20" i="13"/>
  <c r="H19" i="13"/>
  <c r="J19" i="13" s="1"/>
  <c r="G20" i="13" s="1"/>
  <c r="M19" i="13"/>
  <c r="H83" i="13"/>
  <c r="J83" i="13" s="1"/>
  <c r="G84" i="13" s="1"/>
  <c r="I84" i="13"/>
  <c r="M83" i="13"/>
  <c r="AL39" i="1"/>
  <c r="AQ40" i="1"/>
  <c r="AR40" i="1" s="1"/>
  <c r="AS40" i="1" s="1"/>
  <c r="AG40" i="1" s="1"/>
  <c r="AH40" i="1" s="1"/>
  <c r="AK40" i="1" s="1"/>
  <c r="AW38" i="16"/>
  <c r="AX38" i="16" s="1"/>
  <c r="AV39" i="16"/>
  <c r="AP38" i="16"/>
  <c r="AO39" i="16"/>
  <c r="AP42" i="9"/>
  <c r="AL20" i="9"/>
  <c r="F28" i="12"/>
  <c r="M28" i="12" s="1"/>
  <c r="AS44" i="9"/>
  <c r="AT44" i="9" s="1"/>
  <c r="F27" i="12"/>
  <c r="AT43" i="9"/>
  <c r="AO43" i="9" s="1"/>
  <c r="Y42" i="1"/>
  <c r="Y20" i="1"/>
  <c r="F26" i="11"/>
  <c r="M26" i="11" s="1"/>
  <c r="L26" i="11" s="1"/>
  <c r="Z41" i="1"/>
  <c r="Z19" i="1"/>
  <c r="AA19" i="1" s="1"/>
  <c r="AE19" i="1" s="1"/>
  <c r="AP19" i="1" s="1"/>
  <c r="AQ19" i="1" s="1"/>
  <c r="AR19" i="1" s="1"/>
  <c r="AS19" i="1" s="1"/>
  <c r="AF19" i="1" s="1"/>
  <c r="AG19" i="1" s="1"/>
  <c r="AJ19" i="1" s="1"/>
  <c r="AS21" i="9"/>
  <c r="AT21" i="9" s="1"/>
  <c r="AG21" i="9" s="1"/>
  <c r="AH21" i="9" s="1"/>
  <c r="AK21" i="9" s="1"/>
  <c r="AK16" i="1"/>
  <c r="AA41" i="1"/>
  <c r="AF41" i="1" s="1"/>
  <c r="AP41" i="1" s="1"/>
  <c r="V19" i="1"/>
  <c r="U20" i="1"/>
  <c r="C27" i="11" s="1"/>
  <c r="E26" i="11"/>
  <c r="P22" i="1"/>
  <c r="R22" i="1"/>
  <c r="L22" i="1"/>
  <c r="M22" i="1"/>
  <c r="O22" i="1" s="1"/>
  <c r="Y65" i="1" s="1"/>
  <c r="AA65" i="1" s="1"/>
  <c r="AF65" i="1" s="1"/>
  <c r="AP65" i="1" s="1"/>
  <c r="AQ65" i="1" s="1"/>
  <c r="AR65" i="1" s="1"/>
  <c r="AS65" i="1" s="1"/>
  <c r="AG65" i="1" s="1"/>
  <c r="AH65" i="1" s="1"/>
  <c r="AK65" i="1" s="1"/>
  <c r="AL65" i="1" s="1"/>
  <c r="S21" i="1"/>
  <c r="Q21" i="1"/>
  <c r="N22" i="1"/>
  <c r="AJ11" i="10" l="1"/>
  <c r="AK11" i="10" s="1"/>
  <c r="M84" i="13"/>
  <c r="H84" i="13"/>
  <c r="J84" i="13" s="1"/>
  <c r="G85" i="13" s="1"/>
  <c r="I85" i="13"/>
  <c r="L19" i="13"/>
  <c r="Z34" i="10"/>
  <c r="AB34" i="10" s="1"/>
  <c r="H20" i="13"/>
  <c r="J20" i="13" s="1"/>
  <c r="G21" i="13" s="1"/>
  <c r="I21" i="13"/>
  <c r="M20" i="13"/>
  <c r="AH12" i="10"/>
  <c r="AE12" i="10"/>
  <c r="AO12" i="10" s="1"/>
  <c r="AP12" i="10" s="1"/>
  <c r="AQ12" i="10" s="1"/>
  <c r="AR12" i="10" s="1"/>
  <c r="AF12" i="10" s="1"/>
  <c r="AG12" i="10" s="1"/>
  <c r="AN31" i="10"/>
  <c r="AO31" i="10" s="1"/>
  <c r="AM32" i="10"/>
  <c r="L83" i="13"/>
  <c r="AL33" i="10"/>
  <c r="AK33" i="10"/>
  <c r="AD13" i="10"/>
  <c r="AB14" i="10"/>
  <c r="AD14" i="10" s="1"/>
  <c r="I53" i="13"/>
  <c r="H52" i="13"/>
  <c r="J52" i="13" s="1"/>
  <c r="G53" i="13" s="1"/>
  <c r="M52" i="13"/>
  <c r="L51" i="13"/>
  <c r="AL40" i="1"/>
  <c r="M27" i="12"/>
  <c r="L27" i="12" s="1"/>
  <c r="L28" i="12" s="1"/>
  <c r="AQ41" i="1"/>
  <c r="AR41" i="1" s="1"/>
  <c r="AS41" i="1" s="1"/>
  <c r="AG41" i="1" s="1"/>
  <c r="AH41" i="1" s="1"/>
  <c r="AK41" i="1" s="1"/>
  <c r="AL41" i="1" s="1"/>
  <c r="AO40" i="16"/>
  <c r="AP39" i="16"/>
  <c r="AV40" i="16"/>
  <c r="AW39" i="16"/>
  <c r="AX39" i="16" s="1"/>
  <c r="E28" i="12"/>
  <c r="AP43" i="9"/>
  <c r="AO44" i="9"/>
  <c r="AL21" i="9"/>
  <c r="Z42" i="1"/>
  <c r="AA42" i="1" s="1"/>
  <c r="AF42" i="1" s="1"/>
  <c r="AP42" i="1" s="1"/>
  <c r="Z20" i="1"/>
  <c r="Y43" i="1"/>
  <c r="Y21" i="1"/>
  <c r="AA20" i="1"/>
  <c r="AE20" i="1" s="1"/>
  <c r="AP20" i="1" s="1"/>
  <c r="AQ20" i="1" s="1"/>
  <c r="AR20" i="1" s="1"/>
  <c r="AS20" i="1" s="1"/>
  <c r="AF20" i="1" s="1"/>
  <c r="AG20" i="1" s="1"/>
  <c r="AJ20" i="1" s="1"/>
  <c r="AK17" i="1"/>
  <c r="U21" i="1"/>
  <c r="C28" i="11" s="1"/>
  <c r="V20" i="1"/>
  <c r="Q22" i="1"/>
  <c r="S22" i="1"/>
  <c r="AJ12" i="10" l="1"/>
  <c r="AK12" i="10" s="1"/>
  <c r="AH14" i="10"/>
  <c r="AE14" i="10"/>
  <c r="AO14" i="10" s="1"/>
  <c r="AN32" i="10"/>
  <c r="AM33" i="10"/>
  <c r="AO32" i="10"/>
  <c r="L52" i="13"/>
  <c r="M53" i="13"/>
  <c r="L53" i="13" s="1"/>
  <c r="H53" i="13"/>
  <c r="J53" i="13" s="1"/>
  <c r="I54" i="13"/>
  <c r="AE13" i="10"/>
  <c r="AO13" i="10" s="1"/>
  <c r="AP13" i="10" s="1"/>
  <c r="AQ13" i="10" s="1"/>
  <c r="AR13" i="10" s="1"/>
  <c r="AF13" i="10" s="1"/>
  <c r="AG13" i="10" s="1"/>
  <c r="AH13" i="10"/>
  <c r="AN52" i="10"/>
  <c r="Z35" i="10"/>
  <c r="AB35" i="10" s="1"/>
  <c r="I22" i="13"/>
  <c r="H21" i="13"/>
  <c r="J21" i="13" s="1"/>
  <c r="G22" i="13" s="1"/>
  <c r="M21" i="13"/>
  <c r="AK34" i="10"/>
  <c r="AL34" i="10"/>
  <c r="AN53" i="10" s="1"/>
  <c r="L20" i="13"/>
  <c r="L21" i="13" s="1"/>
  <c r="H85" i="13"/>
  <c r="J85" i="13" s="1"/>
  <c r="I86" i="13"/>
  <c r="M85" i="13"/>
  <c r="L84" i="13"/>
  <c r="AM50" i="9"/>
  <c r="P19" i="12" s="1"/>
  <c r="AQ42" i="1"/>
  <c r="AR42" i="1" s="1"/>
  <c r="AS42" i="1" s="1"/>
  <c r="AG42" i="1" s="1"/>
  <c r="AH42" i="1" s="1"/>
  <c r="AK42" i="1" s="1"/>
  <c r="AL42" i="1" s="1"/>
  <c r="AV41" i="16"/>
  <c r="AW40" i="16"/>
  <c r="AX40" i="16" s="1"/>
  <c r="AP40" i="16"/>
  <c r="AO41" i="16"/>
  <c r="AS38" i="16"/>
  <c r="E29" i="12"/>
  <c r="F29" i="12"/>
  <c r="M29" i="12" s="1"/>
  <c r="Q10" i="12" s="1"/>
  <c r="C30" i="12"/>
  <c r="AP44" i="9"/>
  <c r="F28" i="11"/>
  <c r="M28" i="11" s="1"/>
  <c r="Z43" i="1"/>
  <c r="Z21" i="1"/>
  <c r="AK18" i="1"/>
  <c r="AA43" i="1"/>
  <c r="AF43" i="1" s="1"/>
  <c r="AP43" i="1" s="1"/>
  <c r="U32" i="9"/>
  <c r="AA21" i="1"/>
  <c r="AE21" i="1" s="1"/>
  <c r="AP21" i="1" s="1"/>
  <c r="AQ21" i="1" s="1"/>
  <c r="AR21" i="1" s="1"/>
  <c r="AS21" i="1" s="1"/>
  <c r="AF21" i="1" s="1"/>
  <c r="AG21" i="1" s="1"/>
  <c r="AJ21" i="1" s="1"/>
  <c r="AJ22" i="1" s="1"/>
  <c r="U22" i="1"/>
  <c r="C29" i="11" s="1"/>
  <c r="V21" i="1"/>
  <c r="F27" i="11"/>
  <c r="M27" i="11" s="1"/>
  <c r="L27" i="11" s="1"/>
  <c r="E27" i="11"/>
  <c r="AJ13" i="10" l="1"/>
  <c r="AK13" i="10" s="1"/>
  <c r="Q11" i="12"/>
  <c r="Y12" i="19" s="1"/>
  <c r="W38" i="19" s="1"/>
  <c r="Y11" i="19"/>
  <c r="W34" i="19" s="1"/>
  <c r="L85" i="13"/>
  <c r="AL35" i="10"/>
  <c r="AN54" i="10" s="1"/>
  <c r="AK35" i="10"/>
  <c r="G54" i="13"/>
  <c r="H54" i="13" s="1"/>
  <c r="H55" i="13" s="1"/>
  <c r="M86" i="13"/>
  <c r="G86" i="13"/>
  <c r="H86" i="13" s="1"/>
  <c r="H22" i="13"/>
  <c r="Z36" i="10"/>
  <c r="AB36" i="10" s="1"/>
  <c r="M22" i="13"/>
  <c r="M54" i="13"/>
  <c r="L54" i="13" s="1"/>
  <c r="L55" i="13" s="1"/>
  <c r="L56" i="13" s="1"/>
  <c r="L57" i="13" s="1"/>
  <c r="L58" i="13" s="1"/>
  <c r="L59" i="13" s="1"/>
  <c r="L60" i="13" s="1"/>
  <c r="L61" i="13" s="1"/>
  <c r="AN33" i="10"/>
  <c r="AO33" i="10" s="1"/>
  <c r="AM34" i="10"/>
  <c r="AP14" i="10"/>
  <c r="L28" i="11"/>
  <c r="M30" i="12"/>
  <c r="C31" i="12"/>
  <c r="P7" i="12" s="1"/>
  <c r="P8" i="12" s="1"/>
  <c r="P6" i="12"/>
  <c r="P9" i="12" s="1"/>
  <c r="L29" i="12"/>
  <c r="Y14" i="19" s="1"/>
  <c r="W46" i="19" s="1"/>
  <c r="AQ43" i="1"/>
  <c r="AR43" i="1" s="1"/>
  <c r="AS43" i="1" s="1"/>
  <c r="AG43" i="1" s="1"/>
  <c r="AH43" i="1" s="1"/>
  <c r="AK43" i="1" s="1"/>
  <c r="AP41" i="16"/>
  <c r="AO42" i="16"/>
  <c r="AW41" i="16"/>
  <c r="AX41" i="16" s="1"/>
  <c r="AV42" i="16"/>
  <c r="E28" i="11"/>
  <c r="AS39" i="16"/>
  <c r="AS40" i="16"/>
  <c r="C30" i="11"/>
  <c r="AK19" i="1"/>
  <c r="V22" i="1"/>
  <c r="H87" i="13" l="1"/>
  <c r="J86" i="13"/>
  <c r="AN34" i="10"/>
  <c r="AO34" i="10" s="1"/>
  <c r="AM35" i="10"/>
  <c r="R10" i="13"/>
  <c r="R11" i="13" s="1"/>
  <c r="M62" i="13"/>
  <c r="Q10" i="13"/>
  <c r="L22" i="13"/>
  <c r="L23" i="13" s="1"/>
  <c r="L24" i="13" s="1"/>
  <c r="L25" i="13" s="1"/>
  <c r="L26" i="13" s="1"/>
  <c r="L27" i="13" s="1"/>
  <c r="L28" i="13" s="1"/>
  <c r="L29" i="13" s="1"/>
  <c r="AA14" i="19" s="1"/>
  <c r="W47" i="19" s="1"/>
  <c r="M30" i="13"/>
  <c r="J22" i="13"/>
  <c r="H23" i="13"/>
  <c r="L86" i="13"/>
  <c r="L87" i="13" s="1"/>
  <c r="L88" i="13" s="1"/>
  <c r="L89" i="13" s="1"/>
  <c r="L90" i="13" s="1"/>
  <c r="L91" i="13" s="1"/>
  <c r="L92" i="13" s="1"/>
  <c r="L93" i="13" s="1"/>
  <c r="AB14" i="19" s="1"/>
  <c r="X47" i="19" s="1"/>
  <c r="S10" i="13"/>
  <c r="M94" i="13"/>
  <c r="AQ14" i="10"/>
  <c r="AR14" i="10" s="1"/>
  <c r="AF14" i="10" s="1"/>
  <c r="AG14" i="10" s="1"/>
  <c r="AJ14" i="10" s="1"/>
  <c r="AK14" i="10" s="1"/>
  <c r="AP15" i="10"/>
  <c r="AL36" i="10"/>
  <c r="AK36" i="10"/>
  <c r="J54" i="13"/>
  <c r="C31" i="11"/>
  <c r="P7" i="11" s="1"/>
  <c r="P8" i="11" s="1"/>
  <c r="P6" i="11"/>
  <c r="P9" i="11" s="1"/>
  <c r="M31" i="12"/>
  <c r="Q7" i="12" s="1"/>
  <c r="Q6" i="12"/>
  <c r="AL43" i="1"/>
  <c r="AW42" i="16"/>
  <c r="AX42" i="16" s="1"/>
  <c r="AV43" i="16"/>
  <c r="AW43" i="16" s="1"/>
  <c r="AX43" i="16" s="1"/>
  <c r="AO43" i="16"/>
  <c r="AP43" i="16" s="1"/>
  <c r="AP42" i="16"/>
  <c r="T29" i="1"/>
  <c r="AK20" i="1"/>
  <c r="F29" i="11"/>
  <c r="M29" i="11" s="1"/>
  <c r="Q10" i="11" s="1"/>
  <c r="E29" i="11"/>
  <c r="Q8" i="12" l="1"/>
  <c r="Y9" i="19" s="1"/>
  <c r="W26" i="19" s="1"/>
  <c r="Y8" i="19"/>
  <c r="W22" i="19" s="1"/>
  <c r="Q9" i="12"/>
  <c r="Y10" i="19" s="1"/>
  <c r="W30" i="19" s="1"/>
  <c r="Y7" i="19"/>
  <c r="W18" i="19" s="1"/>
  <c r="Q11" i="11"/>
  <c r="W12" i="19" s="1"/>
  <c r="W37" i="19" s="1"/>
  <c r="W11" i="19"/>
  <c r="W33" i="19" s="1"/>
  <c r="Q11" i="13"/>
  <c r="AA12" i="19" s="1"/>
  <c r="W39" i="19" s="1"/>
  <c r="AA11" i="19"/>
  <c r="W35" i="19" s="1"/>
  <c r="AQ15" i="10"/>
  <c r="AR15" i="10" s="1"/>
  <c r="AF15" i="10" s="1"/>
  <c r="AG15" i="10" s="1"/>
  <c r="AJ15" i="10" s="1"/>
  <c r="AK15" i="10" s="1"/>
  <c r="AP16" i="10"/>
  <c r="S6" i="13"/>
  <c r="M95" i="13"/>
  <c r="S7" i="13" s="1"/>
  <c r="R6" i="13"/>
  <c r="R9" i="13" s="1"/>
  <c r="M63" i="13"/>
  <c r="R7" i="13" s="1"/>
  <c r="R8" i="13" s="1"/>
  <c r="AN35" i="10"/>
  <c r="AO35" i="10" s="1"/>
  <c r="AM36" i="10"/>
  <c r="AM37" i="10" s="1"/>
  <c r="AN55" i="10"/>
  <c r="AL51" i="10" s="1"/>
  <c r="AL47" i="10"/>
  <c r="S11" i="13"/>
  <c r="AB12" i="19" s="1"/>
  <c r="X39" i="19" s="1"/>
  <c r="AB11" i="19"/>
  <c r="X35" i="19" s="1"/>
  <c r="Q6" i="13"/>
  <c r="M31" i="13"/>
  <c r="Q7" i="13" s="1"/>
  <c r="L29" i="11"/>
  <c r="W14" i="19" s="1"/>
  <c r="W45" i="19" s="1"/>
  <c r="M30" i="11"/>
  <c r="AS41" i="16"/>
  <c r="AS42" i="16"/>
  <c r="AK21" i="1"/>
  <c r="Q9" i="13" l="1"/>
  <c r="AA10" i="19" s="1"/>
  <c r="W31" i="19" s="1"/>
  <c r="AA7" i="19"/>
  <c r="W19" i="19" s="1"/>
  <c r="Q8" i="13"/>
  <c r="AA9" i="19" s="1"/>
  <c r="W27" i="19" s="1"/>
  <c r="AA8" i="19"/>
  <c r="W23" i="19" s="1"/>
  <c r="P17" i="13"/>
  <c r="AL48" i="10"/>
  <c r="AL50" i="10"/>
  <c r="P20" i="13" s="1"/>
  <c r="AM38" i="10"/>
  <c r="AL53" i="10" s="1"/>
  <c r="P23" i="13" s="1"/>
  <c r="AN37" i="10"/>
  <c r="S8" i="13"/>
  <c r="AB9" i="19" s="1"/>
  <c r="X27" i="19" s="1"/>
  <c r="AB8" i="19"/>
  <c r="X23" i="19" s="1"/>
  <c r="AQ16" i="10"/>
  <c r="AR16" i="10" s="1"/>
  <c r="AF16" i="10" s="1"/>
  <c r="AG16" i="10" s="1"/>
  <c r="AJ16" i="10" s="1"/>
  <c r="AK16" i="10" s="1"/>
  <c r="AP17" i="10"/>
  <c r="AN36" i="10"/>
  <c r="AO36" i="10" s="1"/>
  <c r="AL52" i="10"/>
  <c r="P22" i="13" s="1"/>
  <c r="P21" i="13"/>
  <c r="S9" i="13"/>
  <c r="AB10" i="19" s="1"/>
  <c r="X31" i="19" s="1"/>
  <c r="AB7" i="19"/>
  <c r="X19" i="19" s="1"/>
  <c r="Q6" i="11"/>
  <c r="M31" i="11"/>
  <c r="Q7" i="11" s="1"/>
  <c r="AS43" i="16"/>
  <c r="AO37" i="10" l="1"/>
  <c r="Q8" i="11"/>
  <c r="W9" i="19" s="1"/>
  <c r="W25" i="19" s="1"/>
  <c r="W8" i="19"/>
  <c r="W21" i="19" s="1"/>
  <c r="Q9" i="11"/>
  <c r="W10" i="19" s="1"/>
  <c r="W29" i="19" s="1"/>
  <c r="W7" i="19"/>
  <c r="W17" i="19" s="1"/>
  <c r="AQ17" i="10"/>
  <c r="AR17" i="10" s="1"/>
  <c r="AF17" i="10" s="1"/>
  <c r="AG17" i="10" s="1"/>
  <c r="AJ17" i="10" s="1"/>
  <c r="AK17" i="10" s="1"/>
  <c r="AP18" i="10"/>
  <c r="AM39" i="10"/>
  <c r="AN38" i="10"/>
  <c r="AO38" i="10" s="1"/>
  <c r="P18" i="13"/>
  <c r="AL49" i="10"/>
  <c r="P19" i="13" s="1"/>
  <c r="AQ18" i="10" l="1"/>
  <c r="AR18" i="10" s="1"/>
  <c r="AF18" i="10" s="1"/>
  <c r="AG18" i="10" s="1"/>
  <c r="AJ18" i="10" s="1"/>
  <c r="AK18" i="10" s="1"/>
  <c r="AP19" i="10"/>
  <c r="AM40" i="10"/>
  <c r="AN39" i="10"/>
  <c r="AO39" i="10" s="1"/>
  <c r="AQ19" i="10" l="1"/>
  <c r="AR19" i="10" s="1"/>
  <c r="AF19" i="10" s="1"/>
  <c r="AG19" i="10" s="1"/>
  <c r="AJ19" i="10" s="1"/>
  <c r="AK19" i="10" s="1"/>
  <c r="AP20" i="10"/>
  <c r="AM41" i="10"/>
  <c r="AN40" i="10"/>
  <c r="AO40" i="10" s="1"/>
  <c r="AQ20" i="10" l="1"/>
  <c r="AR20" i="10" s="1"/>
  <c r="AF20" i="10" s="1"/>
  <c r="AG20" i="10" s="1"/>
  <c r="AJ20" i="10" s="1"/>
  <c r="AK20" i="10" s="1"/>
  <c r="AP21" i="10"/>
  <c r="AQ21" i="10" s="1"/>
  <c r="AR21" i="10" s="1"/>
  <c r="AF21" i="10" s="1"/>
  <c r="AG21" i="10" s="1"/>
  <c r="AJ21" i="10" s="1"/>
  <c r="AM42" i="10"/>
  <c r="AN41" i="10"/>
  <c r="AO41" i="10" s="1"/>
  <c r="AK21" i="10" l="1"/>
  <c r="AM43" i="10"/>
  <c r="AN43" i="10" s="1"/>
  <c r="AN42" i="10"/>
  <c r="AO42" i="10" s="1"/>
  <c r="AO43" i="10" l="1"/>
</calcChain>
</file>

<file path=xl/comments1.xml><?xml version="1.0" encoding="utf-8"?>
<comments xmlns="http://schemas.openxmlformats.org/spreadsheetml/2006/main">
  <authors>
    <author>Nelson</author>
  </authors>
  <commentList>
    <comment ref="K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</commentList>
</comments>
</file>

<file path=xl/comments2.xml><?xml version="1.0" encoding="utf-8"?>
<comments xmlns="http://schemas.openxmlformats.org/spreadsheetml/2006/main">
  <authors>
    <author>Nelson</author>
    <author>Garbo</author>
  </authors>
  <commentList>
    <comment ref="AA24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Sobre los intereses</t>
        </r>
      </text>
    </comment>
    <comment ref="AC26" authorId="1" shapeId="0">
      <text>
        <r>
          <rPr>
            <b/>
            <sz val="9"/>
            <color indexed="81"/>
            <rFont val="Tahoma"/>
            <family val="2"/>
          </rPr>
          <t>Garbo:</t>
        </r>
        <r>
          <rPr>
            <sz val="9"/>
            <color indexed="81"/>
            <rFont val="Tahoma"/>
            <family val="2"/>
          </rPr>
          <t xml:space="preserve">
IVA DE EQUIPOS A FAVOR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</commentList>
</comments>
</file>

<file path=xl/comments3.xml><?xml version="1.0" encoding="utf-8"?>
<comments xmlns="http://schemas.openxmlformats.org/spreadsheetml/2006/main">
  <authors>
    <author>Nelson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Dado por el Dr. León en el COPAR solo hay hasta 0.8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Sacado de tesis de sanchez plata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5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5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</commentList>
</comments>
</file>

<file path=xl/comments4.xml><?xml version="1.0" encoding="utf-8"?>
<comments xmlns="http://schemas.openxmlformats.org/spreadsheetml/2006/main">
  <authors>
    <author>Nelson</author>
  </authors>
  <commentList>
    <comment ref="Q8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Es en base a la inversion total o sobre el 10% de la inversión?</t>
        </r>
      </text>
    </comment>
  </commentList>
</comments>
</file>

<file path=xl/comments5.xml><?xml version="1.0" encoding="utf-8"?>
<comments xmlns="http://schemas.openxmlformats.org/spreadsheetml/2006/main">
  <authors>
    <author>Nelson</author>
  </authors>
  <commentList>
    <comment ref="K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O33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Del COPAR</t>
        </r>
      </text>
    </comment>
    <comment ref="T39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Cuando BC=1</t>
        </r>
      </text>
    </comment>
  </commentList>
</comments>
</file>

<file path=xl/comments6.xml><?xml version="1.0" encoding="utf-8"?>
<comments xmlns="http://schemas.openxmlformats.org/spreadsheetml/2006/main">
  <authors>
    <author>Nelson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DYGESTIC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BANCO CENTRAL DE RESERVA EL SALVADOR</t>
        </r>
      </text>
    </comment>
  </commentList>
</comments>
</file>

<file path=xl/comments7.xml><?xml version="1.0" encoding="utf-8"?>
<comments xmlns="http://schemas.openxmlformats.org/spreadsheetml/2006/main">
  <authors>
    <author>Nelson</author>
  </authors>
  <commentList>
    <comment ref="V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Prima CCGT Nuevo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Prima ISCC Nuevo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Prima CCGT Sauz</t>
        </r>
      </text>
    </comment>
    <comment ref="E120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variación promedio</t>
        </r>
      </text>
    </comment>
    <comment ref="L120" authorId="0" shapeId="0">
      <text>
        <r>
          <rPr>
            <b/>
            <sz val="9"/>
            <color indexed="81"/>
            <rFont val="Tahoma"/>
            <family val="2"/>
          </rPr>
          <t>Nelson:</t>
        </r>
        <r>
          <rPr>
            <sz val="9"/>
            <color indexed="81"/>
            <rFont val="Tahoma"/>
            <family val="2"/>
          </rPr>
          <t xml:space="preserve">
variación promedio</t>
        </r>
      </text>
    </comment>
  </commentList>
</comments>
</file>

<file path=xl/sharedStrings.xml><?xml version="1.0" encoding="utf-8"?>
<sst xmlns="http://schemas.openxmlformats.org/spreadsheetml/2006/main" count="1894" uniqueCount="315">
  <si>
    <t>Supuestos técnicos</t>
  </si>
  <si>
    <t>Potencia bruta (MW)</t>
  </si>
  <si>
    <t>Potencia neta (MW)</t>
  </si>
  <si>
    <t>CCGT</t>
  </si>
  <si>
    <t>Factor de planta (%)</t>
  </si>
  <si>
    <t>Eficiencia (%)</t>
  </si>
  <si>
    <t>Usos propios (%)</t>
  </si>
  <si>
    <t>Año</t>
  </si>
  <si>
    <t>Factor de Planta (%)</t>
  </si>
  <si>
    <t>Régimen Térmico Neto (kJ/kWh)</t>
  </si>
  <si>
    <t>Costos O&amp;M</t>
  </si>
  <si>
    <t>Costos de combustible</t>
  </si>
  <si>
    <t>Horas en el año (hrs)</t>
  </si>
  <si>
    <t>DAE (RT)</t>
  </si>
  <si>
    <t>DAFP (FP)</t>
  </si>
  <si>
    <t>Precio MWh (USD/MWh)</t>
  </si>
  <si>
    <t>Supuestos económicos</t>
  </si>
  <si>
    <t>Precios combustibles (GNL)</t>
  </si>
  <si>
    <t>Precio (USD/kJ)</t>
  </si>
  <si>
    <t>Generación Neta (MWh/año)</t>
  </si>
  <si>
    <t>Precio (USD/MBTU)</t>
  </si>
  <si>
    <t>Generación Bruta (MWh/año)</t>
  </si>
  <si>
    <t>Período</t>
  </si>
  <si>
    <t>Inversión</t>
  </si>
  <si>
    <t>USD</t>
  </si>
  <si>
    <t>Coversión kJ ---&gt; MBTU</t>
  </si>
  <si>
    <t>ISCC</t>
  </si>
  <si>
    <t>Poder calorífico inferior (kJ/kg)</t>
  </si>
  <si>
    <t>Cap A</t>
  </si>
  <si>
    <t>Cap B</t>
  </si>
  <si>
    <t>I_A</t>
  </si>
  <si>
    <t>Alfa</t>
  </si>
  <si>
    <t>CapB/CapA</t>
  </si>
  <si>
    <t>Desescalamiento Inversion</t>
  </si>
  <si>
    <t>Desescalamiento Costo Fijo</t>
  </si>
  <si>
    <t>CF_A</t>
  </si>
  <si>
    <t>Cap_B/Cap_A</t>
  </si>
  <si>
    <t>Desescalamiento Costo Variable</t>
  </si>
  <si>
    <t>CV_A</t>
  </si>
  <si>
    <t>Precio Energía (USD/MWH)</t>
  </si>
  <si>
    <t>Inflación US</t>
  </si>
  <si>
    <t>I_B (2015)</t>
  </si>
  <si>
    <t>CF_B (2015)</t>
  </si>
  <si>
    <t>CV_B (2015)</t>
  </si>
  <si>
    <t>Costo Fijo 2018 (USD/MW)</t>
  </si>
  <si>
    <t>Costo Variable  2018 (USD/MWh)</t>
  </si>
  <si>
    <t>Flujo de Efectivo</t>
  </si>
  <si>
    <t>-</t>
  </si>
  <si>
    <t>TREMA (Nominal)</t>
  </si>
  <si>
    <t>VPN (2018)</t>
  </si>
  <si>
    <t>Costo inversión 2018  (USD/kW)</t>
  </si>
  <si>
    <t>AE</t>
  </si>
  <si>
    <t>B/C</t>
  </si>
  <si>
    <t>TIR</t>
  </si>
  <si>
    <t>TIRM</t>
  </si>
  <si>
    <t>Acumulado</t>
  </si>
  <si>
    <t>PR simple</t>
  </si>
  <si>
    <t>Análisis Económico (Caso Base)</t>
  </si>
  <si>
    <t>FP</t>
  </si>
  <si>
    <t>Campo Solar</t>
  </si>
  <si>
    <t>Ciclo Combinado</t>
  </si>
  <si>
    <t>Potencia [MW]</t>
  </si>
  <si>
    <t>Potencia [%]</t>
  </si>
  <si>
    <t>FP ponderado (ISCC)</t>
  </si>
  <si>
    <t>Cálculo factor de planta ISCC</t>
  </si>
  <si>
    <t>Inversión = Costo de Turbinas Sauz + Costo de resto de la planta</t>
  </si>
  <si>
    <t>Costo de Turbinas Sauz</t>
  </si>
  <si>
    <t>Costo resto de planta</t>
  </si>
  <si>
    <t>Agua</t>
  </si>
  <si>
    <t>Costo agua (USD/m3)</t>
  </si>
  <si>
    <t>Régimen térmico neto (LHV) (kJ/kWh)</t>
  </si>
  <si>
    <t>Consumo agua torre (kg/hr)</t>
  </si>
  <si>
    <t>Agua de repuesto ciclo de vapor (kg/hr)</t>
  </si>
  <si>
    <t>Costo agua torre (USD/m3)</t>
  </si>
  <si>
    <t>Costo agua repuesto ciclo de vapor (USD/m3)</t>
  </si>
  <si>
    <t>Consumo agua (kg/hr)</t>
  </si>
  <si>
    <t>Incremento (%)</t>
  </si>
  <si>
    <t>AÑO</t>
  </si>
  <si>
    <t>Resultado neto anual</t>
  </si>
  <si>
    <t>Inversion inicial</t>
  </si>
  <si>
    <t>Interes</t>
  </si>
  <si>
    <t>Pagos anuales, 10 pagos iguales al</t>
  </si>
  <si>
    <t>Flujo neto sin pagos F</t>
  </si>
  <si>
    <t>Apalancamiento</t>
  </si>
  <si>
    <t>Flujo neto Con pagos F</t>
  </si>
  <si>
    <t>BASE</t>
  </si>
  <si>
    <t>Construcción</t>
  </si>
  <si>
    <t>Intereses</t>
  </si>
  <si>
    <t>Amortización</t>
  </si>
  <si>
    <t>Pago</t>
  </si>
  <si>
    <t>Saldo</t>
  </si>
  <si>
    <t>Durante construción</t>
  </si>
  <si>
    <t>COMISION</t>
  </si>
  <si>
    <t>COMPROMISO</t>
  </si>
  <si>
    <t>VPN</t>
  </si>
  <si>
    <t>VNA</t>
  </si>
  <si>
    <t>VP</t>
  </si>
  <si>
    <t>Durante construcción</t>
  </si>
  <si>
    <t>Fecha</t>
  </si>
  <si>
    <t>PROM</t>
  </si>
  <si>
    <t>EMBI (pb)</t>
  </si>
  <si>
    <t>Riesgo país (RP)</t>
  </si>
  <si>
    <t>Tasa</t>
  </si>
  <si>
    <t>Inflación (ES)</t>
  </si>
  <si>
    <t>Inflación (EEUU)</t>
  </si>
  <si>
    <t>Rend. BT corrientes</t>
  </si>
  <si>
    <t>Rend. BT reales</t>
  </si>
  <si>
    <t>Rendimiento libre de riesgo (BT)</t>
  </si>
  <si>
    <t>Rendimiento promedio mercado</t>
  </si>
  <si>
    <t>Inflación (MX)</t>
  </si>
  <si>
    <t>IPC</t>
  </si>
  <si>
    <t>Rend. IPC</t>
  </si>
  <si>
    <t>Rend. IPC real</t>
  </si>
  <si>
    <t>beta</t>
  </si>
  <si>
    <t>CAPM</t>
  </si>
  <si>
    <t>Ingresos cap. Firme</t>
  </si>
  <si>
    <t>Precio capacidad firme (USD/kW-mes)</t>
  </si>
  <si>
    <t>Ingresos p/generación</t>
  </si>
  <si>
    <t>Precio Capacidad firme (USD/kW-mes)</t>
  </si>
  <si>
    <t>SIN FINANCIAMIENTO</t>
  </si>
  <si>
    <t>Flete total</t>
  </si>
  <si>
    <t>DESGLOSE COSTO DE UN PROYECTO CCGT</t>
  </si>
  <si>
    <t>% COSTO</t>
  </si>
  <si>
    <t>Civil, disposición, instalaciones de edificios</t>
  </si>
  <si>
    <t>Infraestructura del sitio</t>
  </si>
  <si>
    <t>Set turbinas de vapor</t>
  </si>
  <si>
    <t>HRSG</t>
  </si>
  <si>
    <t>Electrico</t>
  </si>
  <si>
    <t>Control</t>
  </si>
  <si>
    <t>Set turbinas de gas + Flete</t>
  </si>
  <si>
    <t>Sistemas mecánicos fuera del bloque de potencia</t>
  </si>
  <si>
    <t>Sistema mecánico del bloque de potencia</t>
  </si>
  <si>
    <t>TOTAL</t>
  </si>
  <si>
    <t>INGRESOS [kUSD]</t>
  </si>
  <si>
    <t>COSTOS TOTALES [kUSD]</t>
  </si>
  <si>
    <t>UTILIDAD OPERACION [kUSD]</t>
  </si>
  <si>
    <t>DEPRECIACION</t>
  </si>
  <si>
    <t>MAQ. Y EQU. [kUSD]</t>
  </si>
  <si>
    <t>CONSTRU. [kUSD]</t>
  </si>
  <si>
    <t>TOTAL DEPRECIACION [kUSD]</t>
  </si>
  <si>
    <t>MAQ. Y EQUIPO</t>
  </si>
  <si>
    <t>CONSTRUCCION</t>
  </si>
  <si>
    <t>TASA DEPRECIACION</t>
  </si>
  <si>
    <t>INVERSION (USD)</t>
  </si>
  <si>
    <t>INVERSION (kUSD)</t>
  </si>
  <si>
    <t>DEP. ANUAL (kUSD)</t>
  </si>
  <si>
    <t>AÑOS DEP.</t>
  </si>
  <si>
    <t>UTILIDAD ANTES IMPUESTO [kUSD]</t>
  </si>
  <si>
    <t>U.A.I. [kUSD]</t>
  </si>
  <si>
    <t>Acum. [kUSD]</t>
  </si>
  <si>
    <t>ISR</t>
  </si>
  <si>
    <t>Impuesto ISR</t>
  </si>
  <si>
    <t>ISR [kUSD]</t>
  </si>
  <si>
    <t>UTILIDAD DESPUES IMPUESTO [kUSD]</t>
  </si>
  <si>
    <t>INVERSIONES [kUSD]</t>
  </si>
  <si>
    <t>FLUJO NETO EFECTIVO [kUSD]</t>
  </si>
  <si>
    <t>ACUMULADO [kUSD]</t>
  </si>
  <si>
    <t>Costo Turbinas nuevas</t>
  </si>
  <si>
    <t>VPN (2018) [USD]</t>
  </si>
  <si>
    <t>AE [USD]</t>
  </si>
  <si>
    <t>Costo inversion CCGT [USD]</t>
  </si>
  <si>
    <t>Costo inversion CSP [USD]</t>
  </si>
  <si>
    <t>MAQ. Y EQUIPO CCGT</t>
  </si>
  <si>
    <t>MAQ. Y EQUIPO CSP</t>
  </si>
  <si>
    <t>TABLA CALCULO ISR SIN FINANCIAMIENTO</t>
  </si>
  <si>
    <t>COSTO FINANCIAMIENTO [kUSD]</t>
  </si>
  <si>
    <t>TABLA CALCULO ISR CON FINANCIAMIENTO BID</t>
  </si>
  <si>
    <t>VP (2018) USD</t>
  </si>
  <si>
    <t>UTILIDAD TRABAJADORES</t>
  </si>
  <si>
    <t>IMPUESTO LOCAL NOMINA</t>
  </si>
  <si>
    <t>IVA PAGADO</t>
  </si>
  <si>
    <t>IVA COBRADO</t>
  </si>
  <si>
    <t>PAGO IVA</t>
  </si>
  <si>
    <t>´(-) FAVOR</t>
  </si>
  <si>
    <t>SUELDOS Y SALARIIOS</t>
  </si>
  <si>
    <t>OTROS GASTOS</t>
  </si>
  <si>
    <t>ACUMULADO</t>
  </si>
  <si>
    <t>ANTES IMPUESTOS</t>
  </si>
  <si>
    <t>VENTAS</t>
  </si>
  <si>
    <t>IVA DE PESTRAMO</t>
  </si>
  <si>
    <t>PAGOS PRESTAMO</t>
  </si>
  <si>
    <t>FLUJO CAJA</t>
  </si>
  <si>
    <t>EN BANCO</t>
  </si>
  <si>
    <t>CONSTRU. [USD]</t>
  </si>
  <si>
    <t>MAQ. Y EQU. [USD]</t>
  </si>
  <si>
    <t>INGRESOS [USD]</t>
  </si>
  <si>
    <t>UTILIDAD ANTES IMPUESTO [USD]</t>
  </si>
  <si>
    <t>NO PAGA IMPUESTOS</t>
  </si>
  <si>
    <t>UTILIDAD DESPUES IMPUESTO [USD]</t>
  </si>
  <si>
    <t>VPN I</t>
  </si>
  <si>
    <t>VPN P</t>
  </si>
  <si>
    <t>TIR M</t>
  </si>
  <si>
    <t>PR</t>
  </si>
  <si>
    <t>IPC_0</t>
  </si>
  <si>
    <t>CPIU</t>
  </si>
  <si>
    <t>Prima [USD/MWh]</t>
  </si>
  <si>
    <t>C_esp [kJ/kWh]</t>
  </si>
  <si>
    <t>O&amp;M [USD/MWh]</t>
  </si>
  <si>
    <t>IPC El Salvador</t>
  </si>
  <si>
    <t>IPC EEUU</t>
  </si>
  <si>
    <t>Mes</t>
  </si>
  <si>
    <t>n</t>
  </si>
  <si>
    <t>DELTA</t>
  </si>
  <si>
    <t>Regresión</t>
  </si>
  <si>
    <t>a</t>
  </si>
  <si>
    <t>m</t>
  </si>
  <si>
    <t>PEC_m [USD/MWh]</t>
  </si>
  <si>
    <t>Ccom [USD/kJ]</t>
  </si>
  <si>
    <t>IPC_a-1</t>
  </si>
  <si>
    <t>CPIU_a-1</t>
  </si>
  <si>
    <t>PEC_a [USD/MWh]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</si>
  <si>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</si>
  <si>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</si>
  <si>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</si>
  <si>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</si>
  <si>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</si>
  <si>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</si>
  <si>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</si>
  <si>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</si>
  <si>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</si>
  <si>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</si>
  <si>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</si>
  <si>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</si>
  <si>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CCGT nuevo</t>
  </si>
  <si>
    <t>ISCC nuevo</t>
  </si>
  <si>
    <t>GTs Sauz</t>
  </si>
  <si>
    <t>Resultado neto anual [USD]</t>
  </si>
  <si>
    <t>VENTAS [USD]</t>
  </si>
  <si>
    <t>PAGO PRESTAMO [USD]</t>
  </si>
  <si>
    <t>IVA PRESTAMO [USD]</t>
  </si>
  <si>
    <t>IVA PAGADO [USD]</t>
  </si>
  <si>
    <t>IVA COBRADO [USD]</t>
  </si>
  <si>
    <t>FAVOR PAGO IVA [USD]</t>
  </si>
  <si>
    <t>SUELDOS Y SALARIOS [USD]</t>
  </si>
  <si>
    <t>OTROS GASTOS [USD]</t>
  </si>
  <si>
    <t>FLUJO DE CAJA EN BANCO [USD]</t>
  </si>
  <si>
    <t>UTILIDAD ANTES DE IMPUESTO [USD]</t>
  </si>
  <si>
    <t>ACUMULADO ANTES DE IMPUESTO [USD]</t>
  </si>
  <si>
    <t>DEP. ANUAL (USD)</t>
  </si>
  <si>
    <t>LIBOR 3ER TRIMESTRE 2018</t>
  </si>
  <si>
    <t>CON FINANCIAMIENTO (BID)</t>
  </si>
  <si>
    <t>CON FINANCIAMIENTO (BANCA INTERNACIONAL)</t>
  </si>
  <si>
    <t>Puntos base</t>
  </si>
  <si>
    <t>LIBOR</t>
  </si>
  <si>
    <t xml:space="preserve">VP </t>
  </si>
  <si>
    <t>PROPIETARIO</t>
  </si>
  <si>
    <t>BID</t>
  </si>
  <si>
    <t>BINT</t>
  </si>
  <si>
    <t>BNAC</t>
  </si>
  <si>
    <t>TREMA</t>
  </si>
  <si>
    <t>PERIODO</t>
  </si>
  <si>
    <t>Acumulado [USD]</t>
  </si>
  <si>
    <t>Inversion inicial [USD]</t>
  </si>
  <si>
    <t>BC</t>
  </si>
  <si>
    <t>Costo Turbinas</t>
  </si>
  <si>
    <t>Inversion máxima</t>
  </si>
  <si>
    <t>Con UAI</t>
  </si>
  <si>
    <t>Sin impuesto</t>
  </si>
  <si>
    <t>con UAI</t>
  </si>
  <si>
    <t>CCGT Nuevo</t>
  </si>
  <si>
    <t>ISCC Nuevo</t>
  </si>
  <si>
    <t>CCGT Sáuz</t>
  </si>
  <si>
    <t>% disminución</t>
  </si>
  <si>
    <t>Emisiones [CO2eq kg/MWh]</t>
  </si>
  <si>
    <t>Planta</t>
  </si>
  <si>
    <t>Acajutla Gas/Vapor (Actual)</t>
  </si>
  <si>
    <t>Fuente: gas turbine emissions, Tim lieuwen &amp; Vigor yang</t>
  </si>
  <si>
    <t>precio promedio bonos de carbono</t>
  </si>
  <si>
    <t>banca comercial internacional</t>
  </si>
  <si>
    <t>Precio Ton CO2 eq (USD/Ton CO2eq)</t>
  </si>
  <si>
    <t>Emisiones Evitadas con CSP (Ton CO2eq/MWh)</t>
  </si>
  <si>
    <t>Flujo de Caja</t>
  </si>
  <si>
    <t>IG</t>
  </si>
  <si>
    <t>ICF</t>
  </si>
  <si>
    <t>USD/año</t>
  </si>
  <si>
    <t>VP (2018)</t>
  </si>
  <si>
    <t>Períodos</t>
  </si>
  <si>
    <t>INDICADORES</t>
  </si>
  <si>
    <t>Indicadores</t>
  </si>
  <si>
    <t>VP (2018) [USD]</t>
  </si>
  <si>
    <t>TIR [%]</t>
  </si>
  <si>
    <t>TIRM [%]</t>
  </si>
  <si>
    <t>PR simple [Años]</t>
  </si>
  <si>
    <t>Opción 1</t>
  </si>
  <si>
    <t>Opción 2</t>
  </si>
  <si>
    <t>Opción 3</t>
  </si>
  <si>
    <t>CON FINANCIAMIENTO (BANCA COMERCIAL NACIONAL)</t>
  </si>
  <si>
    <t>Sin financiamiento</t>
  </si>
  <si>
    <t>BCN</t>
  </si>
  <si>
    <t>PR simple [años]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</si>
  <si>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</si>
  <si>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</si>
  <si>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</si>
  <si>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</si>
  <si>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</si>
  <si>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</si>
  <si>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</si>
  <si>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</si>
  <si>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</si>
  <si>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</si>
  <si>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</si>
  <si>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</si>
  <si>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 promedio IPC El Salvador</t>
  </si>
  <si>
    <t>Variación promedio CPIU EEUU</t>
  </si>
  <si>
    <t>IPC EL SALVADOR</t>
  </si>
  <si>
    <t xml:space="preserve">CPIU EEUU </t>
  </si>
  <si>
    <t>CONCEPTO</t>
  </si>
  <si>
    <t>CONCEPTO (CCGT)</t>
  </si>
  <si>
    <t>CONCEPTO (CAMPO SOLAR)</t>
  </si>
  <si>
    <t>Eléctrico</t>
  </si>
  <si>
    <t>Terreno</t>
  </si>
  <si>
    <t>Obra Civil</t>
  </si>
  <si>
    <t>Total CCGT</t>
  </si>
  <si>
    <t>Total Campo Solar</t>
  </si>
  <si>
    <t>TOTAL ISCC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</si>
</sst>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0.0000E+00"/>
    <numFmt numFmtId="166" formatCode="0.00000E+00"/>
    <numFmt numFmtId="167" formatCode="0.0%"/>
    <numFmt numFmtId="168" formatCode="0.00000"/>
    <numFmt numFmtId="169" formatCode="_-&quot;$&quot;* #,##0_-;\-&quot;$&quot;* #,##0_-;_-&quot;$&quot;* &quot;-&quot;??_-;_-@_-"/>
    <numFmt numFmtId="170" formatCode="_-&quot;$&quot;* #,##0.0_-;\-&quot;$&quot;* #,##0.0_-;_-&quot;$&quot;* &quot;-&quot;??_-;_-@_-"/>
    <numFmt numFmtId="171" formatCode="0.0000%"/>
    <numFmt numFmtId="172" formatCode="0.000"/>
    <numFmt numFmtId="173" formatCode="0.000%"/>
    <numFmt numFmtId="174" formatCode="0.00000%"/>
  </numFmts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2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90">
    <xf numFmtId="0" fontId="0" fillId="0" borderId="0" xfId="0"/>
    <xf numFmtId="0" fontId="4" fillId="0" borderId="0" xfId="0" applyFont="1"/>
    <xf numFmtId="0" fontId="5" fillId="0" borderId="0" xfId="0" applyNumberFormat="1" applyFont="1"/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8" fillId="2" borderId="3" xfId="0" applyNumberFormat="1" applyFont="1" applyFill="1" applyBorder="1"/>
    <xf numFmtId="0" fontId="8" fillId="2" borderId="4" xfId="0" applyNumberFormat="1" applyFont="1" applyFill="1" applyBorder="1"/>
    <xf numFmtId="0" fontId="9" fillId="3" borderId="5" xfId="0" applyNumberFormat="1" applyFont="1" applyFill="1" applyBorder="1"/>
    <xf numFmtId="0" fontId="9" fillId="3" borderId="1" xfId="0" applyNumberFormat="1" applyFont="1" applyFill="1" applyBorder="1"/>
    <xf numFmtId="0" fontId="9" fillId="3" borderId="6" xfId="0" applyNumberFormat="1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44" fontId="10" fillId="4" borderId="15" xfId="0" applyNumberFormat="1" applyFont="1" applyFill="1" applyBorder="1"/>
    <xf numFmtId="0" fontId="4" fillId="0" borderId="16" xfId="0" applyFont="1" applyBorder="1" applyAlignment="1">
      <alignment horizontal="center"/>
    </xf>
    <xf numFmtId="10" fontId="4" fillId="0" borderId="16" xfId="1" applyNumberFormat="1" applyFont="1" applyBorder="1" applyAlignment="1">
      <alignment horizontal="center"/>
    </xf>
    <xf numFmtId="0" fontId="4" fillId="0" borderId="16" xfId="1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4" fontId="4" fillId="0" borderId="16" xfId="2" applyFont="1" applyBorder="1"/>
    <xf numFmtId="0" fontId="8" fillId="3" borderId="1" xfId="0" applyNumberFormat="1" applyFont="1" applyFill="1" applyBorder="1"/>
    <xf numFmtId="0" fontId="8" fillId="3" borderId="6" xfId="0" applyNumberFormat="1" applyFont="1" applyFill="1" applyBorder="1"/>
    <xf numFmtId="0" fontId="9" fillId="3" borderId="13" xfId="0" applyNumberFormat="1" applyFont="1" applyFill="1" applyBorder="1"/>
    <xf numFmtId="0" fontId="8" fillId="3" borderId="0" xfId="0" applyNumberFormat="1" applyFont="1" applyFill="1" applyBorder="1"/>
    <xf numFmtId="0" fontId="8" fillId="3" borderId="14" xfId="0" applyNumberFormat="1" applyFont="1" applyFill="1" applyBorder="1"/>
    <xf numFmtId="0" fontId="4" fillId="0" borderId="8" xfId="0" applyFont="1" applyBorder="1" applyAlignment="1">
      <alignment horizontal="center"/>
    </xf>
    <xf numFmtId="166" fontId="4" fillId="0" borderId="8" xfId="0" applyNumberFormat="1" applyFont="1" applyBorder="1"/>
    <xf numFmtId="0" fontId="4" fillId="0" borderId="7" xfId="0" applyFont="1" applyBorder="1" applyAlignment="1">
      <alignment horizontal="center"/>
    </xf>
    <xf numFmtId="10" fontId="4" fillId="0" borderId="7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4" fontId="4" fillId="0" borderId="0" xfId="2" applyFont="1" applyFill="1" applyBorder="1"/>
    <xf numFmtId="0" fontId="4" fillId="0" borderId="17" xfId="0" applyFont="1" applyBorder="1"/>
    <xf numFmtId="0" fontId="4" fillId="0" borderId="21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8" xfId="0" applyFont="1" applyBorder="1" applyAlignment="1">
      <alignment horizontal="center"/>
    </xf>
    <xf numFmtId="2" fontId="4" fillId="0" borderId="0" xfId="0" applyNumberFormat="1" applyFont="1"/>
    <xf numFmtId="2" fontId="4" fillId="0" borderId="14" xfId="0" applyNumberFormat="1" applyFont="1" applyBorder="1"/>
    <xf numFmtId="0" fontId="4" fillId="0" borderId="5" xfId="0" applyFont="1" applyBorder="1"/>
    <xf numFmtId="2" fontId="4" fillId="0" borderId="6" xfId="0" applyNumberFormat="1" applyFont="1" applyBorder="1"/>
    <xf numFmtId="2" fontId="10" fillId="0" borderId="14" xfId="0" applyNumberFormat="1" applyFont="1" applyBorder="1"/>
    <xf numFmtId="0" fontId="4" fillId="0" borderId="6" xfId="0" applyFont="1" applyBorder="1"/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0" fontId="9" fillId="0" borderId="8" xfId="0" applyNumberFormat="1" applyFont="1" applyBorder="1" applyAlignment="1">
      <alignment horizontal="center"/>
    </xf>
    <xf numFmtId="10" fontId="9" fillId="0" borderId="7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0" fontId="11" fillId="2" borderId="2" xfId="0" applyNumberFormat="1" applyFont="1" applyFill="1" applyBorder="1" applyAlignment="1">
      <alignment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10" fontId="4" fillId="0" borderId="14" xfId="0" applyNumberFormat="1" applyFont="1" applyBorder="1"/>
    <xf numFmtId="10" fontId="4" fillId="0" borderId="6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0" fontId="4" fillId="0" borderId="21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10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3" borderId="2" xfId="0" applyNumberFormat="1" applyFont="1" applyFill="1" applyBorder="1" applyAlignment="1">
      <alignment horizontal="left"/>
    </xf>
    <xf numFmtId="0" fontId="9" fillId="3" borderId="3" xfId="0" applyNumberFormat="1" applyFont="1" applyFill="1" applyBorder="1" applyAlignment="1">
      <alignment horizontal="left"/>
    </xf>
    <xf numFmtId="0" fontId="9" fillId="3" borderId="4" xfId="0" applyNumberFormat="1" applyFont="1" applyFill="1" applyBorder="1" applyAlignment="1">
      <alignment horizontal="left"/>
    </xf>
    <xf numFmtId="44" fontId="13" fillId="0" borderId="15" xfId="2" applyFont="1" applyFill="1" applyBorder="1" applyAlignment="1">
      <alignment horizontal="center" vertical="center"/>
    </xf>
    <xf numFmtId="44" fontId="12" fillId="4" borderId="15" xfId="0" applyNumberFormat="1" applyFont="1" applyFill="1" applyBorder="1" applyAlignment="1">
      <alignment horizontal="center" vertical="center"/>
    </xf>
    <xf numFmtId="10" fontId="4" fillId="0" borderId="21" xfId="0" applyNumberFormat="1" applyFont="1" applyBorder="1"/>
    <xf numFmtId="8" fontId="4" fillId="0" borderId="14" xfId="0" applyNumberFormat="1" applyFont="1" applyBorder="1"/>
    <xf numFmtId="2" fontId="4" fillId="0" borderId="14" xfId="0" applyNumberFormat="1" applyFont="1" applyBorder="1" applyAlignment="1">
      <alignment horizontal="right"/>
    </xf>
    <xf numFmtId="9" fontId="4" fillId="0" borderId="14" xfId="0" applyNumberFormat="1" applyFont="1" applyBorder="1"/>
    <xf numFmtId="0" fontId="10" fillId="4" borderId="31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9" fillId="3" borderId="2" xfId="0" applyNumberFormat="1" applyFont="1" applyFill="1" applyBorder="1" applyAlignment="1">
      <alignment horizontal="left"/>
    </xf>
    <xf numFmtId="0" fontId="9" fillId="3" borderId="3" xfId="0" applyNumberFormat="1" applyFont="1" applyFill="1" applyBorder="1" applyAlignment="1">
      <alignment horizontal="left"/>
    </xf>
    <xf numFmtId="0" fontId="9" fillId="3" borderId="4" xfId="0" applyNumberFormat="1" applyFont="1" applyFill="1" applyBorder="1" applyAlignment="1">
      <alignment horizontal="left"/>
    </xf>
    <xf numFmtId="10" fontId="4" fillId="0" borderId="21" xfId="1" applyNumberFormat="1" applyFont="1" applyBorder="1"/>
    <xf numFmtId="10" fontId="4" fillId="0" borderId="14" xfId="1" applyNumberFormat="1" applyFont="1" applyBorder="1"/>
    <xf numFmtId="0" fontId="4" fillId="0" borderId="8" xfId="0" applyFont="1" applyBorder="1"/>
    <xf numFmtId="0" fontId="4" fillId="0" borderId="15" xfId="0" applyFont="1" applyBorder="1"/>
    <xf numFmtId="0" fontId="4" fillId="0" borderId="16" xfId="0" applyFont="1" applyBorder="1"/>
    <xf numFmtId="10" fontId="4" fillId="0" borderId="4" xfId="1" applyNumberFormat="1" applyFont="1" applyBorder="1"/>
    <xf numFmtId="0" fontId="4" fillId="4" borderId="8" xfId="0" applyFont="1" applyFill="1" applyBorder="1"/>
    <xf numFmtId="0" fontId="10" fillId="4" borderId="8" xfId="0" applyFont="1" applyFill="1" applyBorder="1"/>
    <xf numFmtId="0" fontId="4" fillId="4" borderId="8" xfId="0" applyFont="1" applyFill="1" applyBorder="1" applyAlignment="1">
      <alignment horizontal="center"/>
    </xf>
    <xf numFmtId="8" fontId="0" fillId="0" borderId="0" xfId="0" applyNumberFormat="1"/>
    <xf numFmtId="164" fontId="14" fillId="0" borderId="7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4" fillId="0" borderId="8" xfId="0" applyFont="1" applyFill="1" applyBorder="1"/>
    <xf numFmtId="0" fontId="13" fillId="0" borderId="8" xfId="0" applyFont="1" applyBorder="1"/>
    <xf numFmtId="0" fontId="10" fillId="4" borderId="17" xfId="0" applyFont="1" applyFill="1" applyBorder="1"/>
    <xf numFmtId="0" fontId="4" fillId="4" borderId="21" xfId="0" applyFont="1" applyFill="1" applyBorder="1"/>
    <xf numFmtId="2" fontId="4" fillId="0" borderId="25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2" fontId="4" fillId="0" borderId="27" xfId="0" applyNumberFormat="1" applyFont="1" applyBorder="1" applyAlignment="1">
      <alignment horizontal="center"/>
    </xf>
    <xf numFmtId="10" fontId="9" fillId="0" borderId="16" xfId="0" applyNumberFormat="1" applyFont="1" applyBorder="1" applyAlignment="1">
      <alignment horizontal="center"/>
    </xf>
    <xf numFmtId="165" fontId="4" fillId="0" borderId="34" xfId="0" applyNumberFormat="1" applyFont="1" applyBorder="1" applyAlignment="1">
      <alignment horizontal="center"/>
    </xf>
    <xf numFmtId="165" fontId="4" fillId="0" borderId="35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165" fontId="4" fillId="0" borderId="37" xfId="0" applyNumberFormat="1" applyFont="1" applyBorder="1" applyAlignment="1">
      <alignment horizontal="center"/>
    </xf>
    <xf numFmtId="10" fontId="4" fillId="0" borderId="25" xfId="1" applyNumberFormat="1" applyFont="1" applyBorder="1" applyAlignment="1">
      <alignment horizontal="center"/>
    </xf>
    <xf numFmtId="10" fontId="4" fillId="0" borderId="27" xfId="1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10" fontId="4" fillId="0" borderId="23" xfId="1" applyNumberFormat="1" applyFont="1" applyBorder="1" applyAlignment="1">
      <alignment horizontal="center"/>
    </xf>
    <xf numFmtId="0" fontId="0" fillId="0" borderId="0" xfId="0" applyBorder="1"/>
    <xf numFmtId="0" fontId="4" fillId="5" borderId="38" xfId="0" applyFont="1" applyFill="1" applyBorder="1"/>
    <xf numFmtId="0" fontId="4" fillId="5" borderId="41" xfId="0" applyFont="1" applyFill="1" applyBorder="1"/>
    <xf numFmtId="0" fontId="4" fillId="5" borderId="39" xfId="0" applyFont="1" applyFill="1" applyBorder="1"/>
    <xf numFmtId="0" fontId="4" fillId="5" borderId="42" xfId="0" applyFont="1" applyFill="1" applyBorder="1"/>
    <xf numFmtId="0" fontId="4" fillId="5" borderId="43" xfId="0" applyFont="1" applyFill="1" applyBorder="1"/>
    <xf numFmtId="0" fontId="4" fillId="5" borderId="0" xfId="0" applyFont="1" applyFill="1" applyBorder="1"/>
    <xf numFmtId="10" fontId="4" fillId="5" borderId="43" xfId="0" applyNumberFormat="1" applyFont="1" applyFill="1" applyBorder="1" applyAlignment="1">
      <alignment horizontal="left"/>
    </xf>
    <xf numFmtId="0" fontId="4" fillId="5" borderId="33" xfId="0" applyFont="1" applyFill="1" applyBorder="1"/>
    <xf numFmtId="0" fontId="4" fillId="5" borderId="45" xfId="0" applyFont="1" applyFill="1" applyBorder="1"/>
    <xf numFmtId="0" fontId="4" fillId="5" borderId="40" xfId="0" applyFont="1" applyFill="1" applyBorder="1"/>
    <xf numFmtId="9" fontId="4" fillId="5" borderId="0" xfId="0" applyNumberFormat="1" applyFont="1" applyFill="1" applyBorder="1" applyAlignment="1">
      <alignment horizontal="left"/>
    </xf>
    <xf numFmtId="169" fontId="10" fillId="5" borderId="0" xfId="0" applyNumberFormat="1" applyFont="1" applyFill="1" applyBorder="1" applyAlignment="1"/>
    <xf numFmtId="169" fontId="10" fillId="5" borderId="43" xfId="0" applyNumberFormat="1" applyFont="1" applyFill="1" applyBorder="1" applyAlignment="1"/>
    <xf numFmtId="0" fontId="4" fillId="5" borderId="30" xfId="0" applyFont="1" applyFill="1" applyBorder="1"/>
    <xf numFmtId="0" fontId="4" fillId="5" borderId="33" xfId="0" applyFont="1" applyFill="1" applyBorder="1" applyAlignment="1">
      <alignment horizontal="center"/>
    </xf>
    <xf numFmtId="0" fontId="4" fillId="5" borderId="46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4" fillId="5" borderId="44" xfId="0" applyFont="1" applyFill="1" applyBorder="1"/>
    <xf numFmtId="0" fontId="13" fillId="5" borderId="0" xfId="0" applyFont="1" applyFill="1" applyBorder="1"/>
    <xf numFmtId="9" fontId="4" fillId="5" borderId="0" xfId="0" applyNumberFormat="1" applyFont="1" applyFill="1" applyBorder="1"/>
    <xf numFmtId="167" fontId="4" fillId="5" borderId="0" xfId="0" applyNumberFormat="1" applyFont="1" applyFill="1" applyBorder="1"/>
    <xf numFmtId="0" fontId="4" fillId="5" borderId="46" xfId="0" applyFont="1" applyFill="1" applyBorder="1"/>
    <xf numFmtId="44" fontId="13" fillId="5" borderId="44" xfId="2" applyNumberFormat="1" applyFont="1" applyFill="1" applyBorder="1"/>
    <xf numFmtId="169" fontId="13" fillId="5" borderId="39" xfId="0" applyNumberFormat="1" applyFont="1" applyFill="1" applyBorder="1"/>
    <xf numFmtId="169" fontId="13" fillId="5" borderId="40" xfId="0" applyNumberFormat="1" applyFont="1" applyFill="1" applyBorder="1"/>
    <xf numFmtId="169" fontId="4" fillId="5" borderId="44" xfId="2" applyNumberFormat="1" applyFont="1" applyFill="1" applyBorder="1"/>
    <xf numFmtId="169" fontId="4" fillId="5" borderId="0" xfId="0" applyNumberFormat="1" applyFont="1" applyFill="1" applyBorder="1"/>
    <xf numFmtId="6" fontId="4" fillId="5" borderId="0" xfId="0" applyNumberFormat="1" applyFont="1" applyFill="1" applyBorder="1"/>
    <xf numFmtId="169" fontId="4" fillId="5" borderId="43" xfId="0" applyNumberFormat="1" applyFont="1" applyFill="1" applyBorder="1"/>
    <xf numFmtId="169" fontId="15" fillId="5" borderId="44" xfId="0" applyNumberFormat="1" applyFont="1" applyFill="1" applyBorder="1"/>
    <xf numFmtId="6" fontId="4" fillId="5" borderId="41" xfId="0" applyNumberFormat="1" applyFont="1" applyFill="1" applyBorder="1"/>
    <xf numFmtId="169" fontId="4" fillId="5" borderId="30" xfId="2" applyNumberFormat="1" applyFont="1" applyFill="1" applyBorder="1"/>
    <xf numFmtId="169" fontId="15" fillId="5" borderId="30" xfId="0" applyNumberFormat="1" applyFont="1" applyFill="1" applyBorder="1"/>
    <xf numFmtId="168" fontId="4" fillId="5" borderId="43" xfId="0" applyNumberFormat="1" applyFont="1" applyFill="1" applyBorder="1"/>
    <xf numFmtId="15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1" applyNumberFormat="1" applyFont="1"/>
    <xf numFmtId="44" fontId="0" fillId="0" borderId="0" xfId="0" applyNumberFormat="1"/>
    <xf numFmtId="0" fontId="15" fillId="0" borderId="8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0" xfId="0" applyFont="1" applyBorder="1"/>
    <xf numFmtId="2" fontId="10" fillId="0" borderId="0" xfId="0" applyNumberFormat="1" applyFont="1" applyBorder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Border="1"/>
    <xf numFmtId="0" fontId="4" fillId="0" borderId="0" xfId="0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4" fontId="4" fillId="0" borderId="0" xfId="2" applyFont="1" applyBorder="1"/>
    <xf numFmtId="44" fontId="4" fillId="0" borderId="0" xfId="2" applyFont="1" applyBorder="1" applyAlignment="1">
      <alignment horizontal="center"/>
    </xf>
    <xf numFmtId="0" fontId="10" fillId="0" borderId="0" xfId="0" applyFont="1" applyFill="1" applyBorder="1"/>
    <xf numFmtId="44" fontId="10" fillId="0" borderId="0" xfId="0" applyNumberFormat="1" applyFont="1" applyFill="1" applyBorder="1"/>
    <xf numFmtId="0" fontId="4" fillId="0" borderId="5" xfId="0" applyFont="1" applyFill="1" applyBorder="1"/>
    <xf numFmtId="0" fontId="4" fillId="0" borderId="6" xfId="0" applyNumberFormat="1" applyFont="1" applyBorder="1"/>
    <xf numFmtId="0" fontId="10" fillId="5" borderId="50" xfId="0" applyFont="1" applyFill="1" applyBorder="1" applyAlignment="1">
      <alignment horizontal="center"/>
    </xf>
    <xf numFmtId="0" fontId="10" fillId="5" borderId="48" xfId="0" applyFont="1" applyFill="1" applyBorder="1" applyAlignment="1">
      <alignment horizontal="center"/>
    </xf>
    <xf numFmtId="0" fontId="4" fillId="5" borderId="49" xfId="0" applyFont="1" applyFill="1" applyBorder="1"/>
    <xf numFmtId="0" fontId="4" fillId="5" borderId="52" xfId="0" applyFont="1" applyFill="1" applyBorder="1"/>
    <xf numFmtId="0" fontId="4" fillId="5" borderId="50" xfId="0" applyFont="1" applyFill="1" applyBorder="1" applyAlignment="1">
      <alignment horizontal="center"/>
    </xf>
    <xf numFmtId="169" fontId="13" fillId="5" borderId="52" xfId="0" applyNumberFormat="1" applyFont="1" applyFill="1" applyBorder="1"/>
    <xf numFmtId="169" fontId="4" fillId="5" borderId="52" xfId="0" applyNumberFormat="1" applyFont="1" applyFill="1" applyBorder="1"/>
    <xf numFmtId="0" fontId="4" fillId="5" borderId="53" xfId="0" applyFont="1" applyFill="1" applyBorder="1" applyAlignment="1">
      <alignment horizontal="center"/>
    </xf>
    <xf numFmtId="169" fontId="4" fillId="5" borderId="51" xfId="0" applyNumberFormat="1" applyFont="1" applyFill="1" applyBorder="1"/>
    <xf numFmtId="0" fontId="10" fillId="5" borderId="13" xfId="0" applyFont="1" applyFill="1" applyBorder="1" applyAlignment="1">
      <alignment horizontal="center"/>
    </xf>
    <xf numFmtId="169" fontId="10" fillId="5" borderId="0" xfId="2" applyNumberFormat="1" applyFont="1" applyFill="1" applyBorder="1" applyAlignment="1">
      <alignment horizontal="center"/>
    </xf>
    <xf numFmtId="0" fontId="4" fillId="5" borderId="14" xfId="0" applyFont="1" applyFill="1" applyBorder="1"/>
    <xf numFmtId="0" fontId="10" fillId="5" borderId="5" xfId="0" applyFont="1" applyFill="1" applyBorder="1" applyAlignment="1">
      <alignment horizontal="center"/>
    </xf>
    <xf numFmtId="169" fontId="10" fillId="5" borderId="1" xfId="2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5" borderId="6" xfId="0" applyFont="1" applyFill="1" applyBorder="1"/>
    <xf numFmtId="0" fontId="4" fillId="5" borderId="54" xfId="0" applyFont="1" applyFill="1" applyBorder="1"/>
    <xf numFmtId="10" fontId="4" fillId="5" borderId="50" xfId="0" applyNumberFormat="1" applyFont="1" applyFill="1" applyBorder="1" applyAlignment="1">
      <alignment horizontal="center"/>
    </xf>
    <xf numFmtId="0" fontId="4" fillId="5" borderId="55" xfId="0" applyFont="1" applyFill="1" applyBorder="1"/>
    <xf numFmtId="0" fontId="4" fillId="5" borderId="56" xfId="0" applyFont="1" applyFill="1" applyBorder="1"/>
    <xf numFmtId="170" fontId="4" fillId="5" borderId="13" xfId="0" applyNumberFormat="1" applyFont="1" applyFill="1" applyBorder="1"/>
    <xf numFmtId="44" fontId="4" fillId="5" borderId="13" xfId="0" applyNumberFormat="1" applyFont="1" applyFill="1" applyBorder="1"/>
    <xf numFmtId="0" fontId="4" fillId="5" borderId="57" xfId="0" applyFont="1" applyFill="1" applyBorder="1"/>
    <xf numFmtId="169" fontId="4" fillId="5" borderId="55" xfId="0" applyNumberFormat="1" applyFont="1" applyFill="1" applyBorder="1"/>
    <xf numFmtId="169" fontId="4" fillId="5" borderId="13" xfId="0" applyNumberFormat="1" applyFont="1" applyFill="1" applyBorder="1"/>
    <xf numFmtId="169" fontId="4" fillId="5" borderId="57" xfId="0" applyNumberFormat="1" applyFont="1" applyFill="1" applyBorder="1"/>
    <xf numFmtId="0" fontId="4" fillId="5" borderId="13" xfId="0" applyFont="1" applyFill="1" applyBorder="1"/>
    <xf numFmtId="0" fontId="10" fillId="5" borderId="0" xfId="0" applyFont="1" applyFill="1" applyBorder="1" applyAlignment="1">
      <alignment horizontal="center"/>
    </xf>
    <xf numFmtId="169" fontId="4" fillId="5" borderId="14" xfId="2" applyNumberFormat="1" applyFont="1" applyFill="1" applyBorder="1"/>
    <xf numFmtId="0" fontId="4" fillId="5" borderId="5" xfId="0" applyFont="1" applyFill="1" applyBorder="1"/>
    <xf numFmtId="0" fontId="10" fillId="5" borderId="1" xfId="0" applyFont="1" applyFill="1" applyBorder="1" applyAlignment="1">
      <alignment horizontal="center"/>
    </xf>
    <xf numFmtId="169" fontId="10" fillId="5" borderId="6" xfId="2" applyNumberFormat="1" applyFont="1" applyFill="1" applyBorder="1" applyAlignment="1">
      <alignment horizontal="center"/>
    </xf>
    <xf numFmtId="169" fontId="10" fillId="5" borderId="0" xfId="2" applyNumberFormat="1" applyFont="1" applyFill="1" applyBorder="1" applyAlignment="1"/>
    <xf numFmtId="169" fontId="10" fillId="5" borderId="1" xfId="2" applyNumberFormat="1" applyFont="1" applyFill="1" applyBorder="1" applyAlignment="1"/>
    <xf numFmtId="169" fontId="10" fillId="5" borderId="6" xfId="2" applyNumberFormat="1" applyFont="1" applyFill="1" applyBorder="1" applyAlignment="1"/>
    <xf numFmtId="169" fontId="10" fillId="5" borderId="14" xfId="2" applyNumberFormat="1" applyFont="1" applyFill="1" applyBorder="1"/>
    <xf numFmtId="169" fontId="15" fillId="5" borderId="52" xfId="0" applyNumberFormat="1" applyFont="1" applyFill="1" applyBorder="1"/>
    <xf numFmtId="44" fontId="4" fillId="0" borderId="0" xfId="0" applyNumberFormat="1" applyFont="1"/>
    <xf numFmtId="9" fontId="0" fillId="0" borderId="0" xfId="0" applyNumberFormat="1"/>
    <xf numFmtId="0" fontId="0" fillId="5" borderId="0" xfId="0" applyFill="1"/>
    <xf numFmtId="0" fontId="0" fillId="5" borderId="30" xfId="0" applyFill="1" applyBorder="1"/>
    <xf numFmtId="0" fontId="17" fillId="5" borderId="34" xfId="0" applyFont="1" applyFill="1" applyBorder="1"/>
    <xf numFmtId="0" fontId="18" fillId="5" borderId="58" xfId="0" applyFont="1" applyFill="1" applyBorder="1"/>
    <xf numFmtId="9" fontId="4" fillId="5" borderId="44" xfId="0" applyNumberFormat="1" applyFont="1" applyFill="1" applyBorder="1"/>
    <xf numFmtId="44" fontId="4" fillId="5" borderId="44" xfId="0" applyNumberFormat="1" applyFont="1" applyFill="1" applyBorder="1"/>
    <xf numFmtId="0" fontId="4" fillId="5" borderId="34" xfId="0" applyFont="1" applyFill="1" applyBorder="1"/>
    <xf numFmtId="0" fontId="10" fillId="5" borderId="58" xfId="0" applyFont="1" applyFill="1" applyBorder="1"/>
    <xf numFmtId="9" fontId="4" fillId="5" borderId="18" xfId="0" applyNumberFormat="1" applyFont="1" applyFill="1" applyBorder="1"/>
    <xf numFmtId="44" fontId="4" fillId="5" borderId="18" xfId="0" applyNumberFormat="1" applyFont="1" applyFill="1" applyBorder="1"/>
    <xf numFmtId="0" fontId="17" fillId="5" borderId="1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4" fillId="0" borderId="0" xfId="2" applyFont="1"/>
    <xf numFmtId="44" fontId="4" fillId="5" borderId="39" xfId="0" applyNumberFormat="1" applyFont="1" applyFill="1" applyBorder="1"/>
    <xf numFmtId="44" fontId="4" fillId="5" borderId="45" xfId="0" applyNumberFormat="1" applyFont="1" applyFill="1" applyBorder="1"/>
    <xf numFmtId="0" fontId="18" fillId="5" borderId="40" xfId="0" applyFont="1" applyFill="1" applyBorder="1"/>
    <xf numFmtId="0" fontId="18" fillId="5" borderId="30" xfId="0" applyFont="1" applyFill="1" applyBorder="1"/>
    <xf numFmtId="0" fontId="18" fillId="5" borderId="18" xfId="0" applyFont="1" applyFill="1" applyBorder="1" applyAlignment="1">
      <alignment horizontal="center"/>
    </xf>
    <xf numFmtId="44" fontId="4" fillId="5" borderId="40" xfId="0" applyNumberFormat="1" applyFont="1" applyFill="1" applyBorder="1"/>
    <xf numFmtId="44" fontId="4" fillId="5" borderId="30" xfId="0" applyNumberFormat="1" applyFont="1" applyFill="1" applyBorder="1"/>
    <xf numFmtId="0" fontId="18" fillId="5" borderId="18" xfId="0" applyFont="1" applyFill="1" applyBorder="1"/>
    <xf numFmtId="9" fontId="4" fillId="5" borderId="40" xfId="0" applyNumberFormat="1" applyFont="1" applyFill="1" applyBorder="1"/>
    <xf numFmtId="9" fontId="4" fillId="5" borderId="30" xfId="0" applyNumberFormat="1" applyFont="1" applyFill="1" applyBorder="1"/>
    <xf numFmtId="0" fontId="0" fillId="5" borderId="44" xfId="0" applyFill="1" applyBorder="1"/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42" xfId="0" applyNumberFormat="1" applyFont="1" applyBorder="1"/>
    <xf numFmtId="44" fontId="4" fillId="0" borderId="0" xfId="0" applyNumberFormat="1" applyFont="1" applyBorder="1"/>
    <xf numFmtId="44" fontId="4" fillId="0" borderId="43" xfId="0" applyNumberFormat="1" applyFont="1" applyBorder="1"/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44" fontId="4" fillId="0" borderId="42" xfId="0" applyNumberFormat="1" applyFont="1" applyBorder="1" applyAlignment="1">
      <alignment horizontal="center"/>
    </xf>
    <xf numFmtId="44" fontId="4" fillId="0" borderId="33" xfId="0" applyNumberFormat="1" applyFont="1" applyBorder="1" applyAlignment="1">
      <alignment horizontal="center"/>
    </xf>
    <xf numFmtId="44" fontId="4" fillId="0" borderId="46" xfId="2" applyFont="1" applyBorder="1"/>
    <xf numFmtId="44" fontId="4" fillId="0" borderId="45" xfId="0" applyNumberFormat="1" applyFont="1" applyBorder="1"/>
    <xf numFmtId="44" fontId="4" fillId="0" borderId="44" xfId="0" applyNumberFormat="1" applyFont="1" applyBorder="1"/>
    <xf numFmtId="44" fontId="4" fillId="0" borderId="30" xfId="0" applyNumberFormat="1" applyFont="1" applyBorder="1"/>
    <xf numFmtId="44" fontId="4" fillId="0" borderId="43" xfId="2" applyFont="1" applyBorder="1"/>
    <xf numFmtId="0" fontId="4" fillId="0" borderId="44" xfId="0" applyFont="1" applyBorder="1"/>
    <xf numFmtId="44" fontId="4" fillId="0" borderId="33" xfId="0" applyNumberFormat="1" applyFont="1" applyBorder="1"/>
    <xf numFmtId="44" fontId="4" fillId="0" borderId="46" xfId="0" applyNumberFormat="1" applyFont="1" applyBorder="1"/>
    <xf numFmtId="0" fontId="4" fillId="0" borderId="30" xfId="0" applyFont="1" applyBorder="1"/>
    <xf numFmtId="0" fontId="4" fillId="6" borderId="0" xfId="0" applyFont="1" applyFill="1"/>
    <xf numFmtId="0" fontId="4" fillId="0" borderId="34" xfId="0" applyFont="1" applyBorder="1"/>
    <xf numFmtId="9" fontId="4" fillId="0" borderId="58" xfId="0" applyNumberFormat="1" applyFont="1" applyBorder="1"/>
    <xf numFmtId="0" fontId="4" fillId="0" borderId="41" xfId="0" applyFont="1" applyBorder="1"/>
    <xf numFmtId="0" fontId="4" fillId="0" borderId="39" xfId="0" applyFont="1" applyBorder="1" applyAlignment="1">
      <alignment horizontal="center"/>
    </xf>
    <xf numFmtId="44" fontId="4" fillId="0" borderId="45" xfId="2" applyFont="1" applyBorder="1"/>
    <xf numFmtId="0" fontId="4" fillId="0" borderId="39" xfId="0" applyFont="1" applyBorder="1"/>
    <xf numFmtId="0" fontId="4" fillId="0" borderId="43" xfId="0" applyFont="1" applyBorder="1"/>
    <xf numFmtId="0" fontId="4" fillId="0" borderId="45" xfId="0" applyFont="1" applyBorder="1"/>
    <xf numFmtId="0" fontId="4" fillId="0" borderId="40" xfId="0" applyFont="1" applyBorder="1"/>
    <xf numFmtId="0" fontId="0" fillId="5" borderId="58" xfId="0" applyFill="1" applyBorder="1"/>
    <xf numFmtId="0" fontId="10" fillId="5" borderId="18" xfId="0" applyFont="1" applyFill="1" applyBorder="1" applyAlignment="1">
      <alignment horizontal="center"/>
    </xf>
    <xf numFmtId="44" fontId="4" fillId="5" borderId="58" xfId="0" applyNumberFormat="1" applyFont="1" applyFill="1" applyBorder="1"/>
    <xf numFmtId="0" fontId="18" fillId="5" borderId="44" xfId="0" applyFont="1" applyFill="1" applyBorder="1"/>
    <xf numFmtId="0" fontId="0" fillId="5" borderId="40" xfId="0" applyFill="1" applyBorder="1"/>
    <xf numFmtId="9" fontId="4" fillId="0" borderId="44" xfId="0" applyNumberFormat="1" applyFont="1" applyBorder="1"/>
    <xf numFmtId="44" fontId="4" fillId="0" borderId="44" xfId="2" applyFont="1" applyBorder="1"/>
    <xf numFmtId="44" fontId="4" fillId="0" borderId="30" xfId="2" applyFont="1" applyBorder="1"/>
    <xf numFmtId="0" fontId="4" fillId="0" borderId="44" xfId="0" applyFont="1" applyBorder="1" applyAlignment="1">
      <alignment horizontal="center"/>
    </xf>
    <xf numFmtId="0" fontId="4" fillId="0" borderId="44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4" fontId="0" fillId="0" borderId="0" xfId="2" applyFont="1" applyBorder="1"/>
    <xf numFmtId="0" fontId="4" fillId="0" borderId="44" xfId="0" applyNumberFormat="1" applyFont="1" applyBorder="1"/>
    <xf numFmtId="0" fontId="4" fillId="0" borderId="44" xfId="2" applyNumberFormat="1" applyFont="1" applyBorder="1"/>
    <xf numFmtId="44" fontId="4" fillId="0" borderId="42" xfId="2" applyFont="1" applyBorder="1"/>
    <xf numFmtId="6" fontId="4" fillId="0" borderId="42" xfId="2" applyNumberFormat="1" applyFont="1" applyBorder="1"/>
    <xf numFmtId="0" fontId="4" fillId="0" borderId="30" xfId="2" applyNumberFormat="1" applyFont="1" applyBorder="1"/>
    <xf numFmtId="44" fontId="4" fillId="0" borderId="33" xfId="2" applyFont="1" applyBorder="1"/>
    <xf numFmtId="0" fontId="19" fillId="0" borderId="4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9" fontId="0" fillId="0" borderId="0" xfId="0" applyNumberFormat="1"/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/>
    <xf numFmtId="0" fontId="4" fillId="0" borderId="42" xfId="0" applyFont="1" applyBorder="1"/>
    <xf numFmtId="2" fontId="0" fillId="0" borderId="0" xfId="0" applyNumberFormat="1"/>
    <xf numFmtId="8" fontId="4" fillId="0" borderId="0" xfId="0" applyNumberFormat="1" applyFont="1"/>
    <xf numFmtId="8" fontId="4" fillId="0" borderId="42" xfId="2" applyNumberFormat="1" applyFont="1" applyBorder="1"/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0" fillId="0" borderId="13" xfId="0" applyBorder="1"/>
    <xf numFmtId="10" fontId="4" fillId="0" borderId="15" xfId="0" applyNumberFormat="1" applyFont="1" applyBorder="1"/>
    <xf numFmtId="8" fontId="4" fillId="0" borderId="16" xfId="0" applyNumberFormat="1" applyFont="1" applyBorder="1"/>
    <xf numFmtId="2" fontId="4" fillId="0" borderId="16" xfId="0" applyNumberFormat="1" applyFont="1" applyBorder="1" applyAlignment="1">
      <alignment horizontal="right"/>
    </xf>
    <xf numFmtId="10" fontId="4" fillId="0" borderId="16" xfId="0" applyNumberFormat="1" applyFont="1" applyBorder="1"/>
    <xf numFmtId="2" fontId="4" fillId="0" borderId="7" xfId="0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left"/>
    </xf>
    <xf numFmtId="0" fontId="9" fillId="3" borderId="3" xfId="0" applyNumberFormat="1" applyFont="1" applyFill="1" applyBorder="1" applyAlignment="1">
      <alignment horizontal="left"/>
    </xf>
    <xf numFmtId="0" fontId="9" fillId="3" borderId="4" xfId="0" applyNumberFormat="1" applyFont="1" applyFill="1" applyBorder="1" applyAlignment="1">
      <alignment horizontal="left"/>
    </xf>
    <xf numFmtId="0" fontId="4" fillId="0" borderId="4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58" xfId="0" applyBorder="1" applyAlignment="1">
      <alignment horizontal="center"/>
    </xf>
    <xf numFmtId="10" fontId="4" fillId="0" borderId="0" xfId="1" applyNumberFormat="1" applyFont="1"/>
    <xf numFmtId="165" fontId="4" fillId="0" borderId="0" xfId="0" applyNumberFormat="1" applyFont="1"/>
    <xf numFmtId="9" fontId="0" fillId="0" borderId="0" xfId="1" applyFont="1"/>
    <xf numFmtId="0" fontId="0" fillId="0" borderId="16" xfId="0" applyBorder="1"/>
    <xf numFmtId="38" fontId="4" fillId="7" borderId="16" xfId="2" applyNumberFormat="1" applyFont="1" applyFill="1" applyBorder="1" applyAlignment="1">
      <alignment horizontal="center"/>
    </xf>
    <xf numFmtId="38" fontId="4" fillId="7" borderId="7" xfId="2" applyNumberFormat="1" applyFont="1" applyFill="1" applyBorder="1" applyAlignment="1">
      <alignment horizontal="center"/>
    </xf>
    <xf numFmtId="38" fontId="4" fillId="7" borderId="16" xfId="2" applyNumberFormat="1" applyFont="1" applyFill="1" applyBorder="1"/>
    <xf numFmtId="38" fontId="4" fillId="7" borderId="7" xfId="2" applyNumberFormat="1" applyFont="1" applyFill="1" applyBorder="1"/>
    <xf numFmtId="38" fontId="0" fillId="7" borderId="16" xfId="0" applyNumberFormat="1" applyFill="1" applyBorder="1" applyAlignment="1">
      <alignment horizontal="center"/>
    </xf>
    <xf numFmtId="38" fontId="0" fillId="7" borderId="7" xfId="0" applyNumberFormat="1" applyFill="1" applyBorder="1" applyAlignment="1">
      <alignment horizontal="center"/>
    </xf>
    <xf numFmtId="0" fontId="21" fillId="0" borderId="1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" fillId="0" borderId="16" xfId="2" applyNumberFormat="1" applyFont="1" applyBorder="1" applyAlignment="1">
      <alignment horizontal="center"/>
    </xf>
    <xf numFmtId="0" fontId="4" fillId="0" borderId="7" xfId="2" applyNumberFormat="1" applyFont="1" applyBorder="1" applyAlignment="1">
      <alignment horizontal="center"/>
    </xf>
    <xf numFmtId="169" fontId="4" fillId="0" borderId="16" xfId="2" applyNumberFormat="1" applyFont="1" applyBorder="1" applyAlignment="1">
      <alignment horizontal="center"/>
    </xf>
    <xf numFmtId="169" fontId="4" fillId="0" borderId="7" xfId="2" applyNumberFormat="1" applyFont="1" applyBorder="1" applyAlignment="1">
      <alignment horizontal="center"/>
    </xf>
    <xf numFmtId="169" fontId="10" fillId="4" borderId="16" xfId="0" applyNumberFormat="1" applyFont="1" applyFill="1" applyBorder="1" applyAlignment="1">
      <alignment horizontal="center"/>
    </xf>
    <xf numFmtId="169" fontId="10" fillId="4" borderId="7" xfId="0" applyNumberFormat="1" applyFont="1" applyFill="1" applyBorder="1" applyAlignment="1">
      <alignment horizontal="center"/>
    </xf>
    <xf numFmtId="169" fontId="13" fillId="5" borderId="44" xfId="2" applyNumberFormat="1" applyFont="1" applyFill="1" applyBorder="1"/>
    <xf numFmtId="38" fontId="13" fillId="5" borderId="52" xfId="0" applyNumberFormat="1" applyFont="1" applyFill="1" applyBorder="1"/>
    <xf numFmtId="38" fontId="4" fillId="5" borderId="55" xfId="0" applyNumberFormat="1" applyFont="1" applyFill="1" applyBorder="1"/>
    <xf numFmtId="38" fontId="4" fillId="5" borderId="41" xfId="0" applyNumberFormat="1" applyFont="1" applyFill="1" applyBorder="1"/>
    <xf numFmtId="38" fontId="13" fillId="5" borderId="39" xfId="0" applyNumberFormat="1" applyFont="1" applyFill="1" applyBorder="1"/>
    <xf numFmtId="38" fontId="4" fillId="5" borderId="13" xfId="0" applyNumberFormat="1" applyFont="1" applyFill="1" applyBorder="1"/>
    <xf numFmtId="38" fontId="4" fillId="5" borderId="0" xfId="0" applyNumberFormat="1" applyFont="1" applyFill="1" applyBorder="1"/>
    <xf numFmtId="38" fontId="4" fillId="5" borderId="43" xfId="0" applyNumberFormat="1" applyFont="1" applyFill="1" applyBorder="1"/>
    <xf numFmtId="38" fontId="4" fillId="5" borderId="52" xfId="0" applyNumberFormat="1" applyFont="1" applyFill="1" applyBorder="1"/>
    <xf numFmtId="38" fontId="4" fillId="5" borderId="51" xfId="0" applyNumberFormat="1" applyFont="1" applyFill="1" applyBorder="1"/>
    <xf numFmtId="38" fontId="4" fillId="5" borderId="57" xfId="0" applyNumberFormat="1" applyFont="1" applyFill="1" applyBorder="1"/>
    <xf numFmtId="38" fontId="4" fillId="5" borderId="46" xfId="0" applyNumberFormat="1" applyFont="1" applyFill="1" applyBorder="1"/>
    <xf numFmtId="38" fontId="4" fillId="5" borderId="45" xfId="0" applyNumberFormat="1" applyFont="1" applyFill="1" applyBorder="1"/>
    <xf numFmtId="38" fontId="13" fillId="5" borderId="38" xfId="0" applyNumberFormat="1" applyFont="1" applyFill="1" applyBorder="1"/>
    <xf numFmtId="38" fontId="4" fillId="5" borderId="42" xfId="0" applyNumberFormat="1" applyFont="1" applyFill="1" applyBorder="1"/>
    <xf numFmtId="38" fontId="4" fillId="5" borderId="33" xfId="0" applyNumberFormat="1" applyFont="1" applyFill="1" applyBorder="1"/>
    <xf numFmtId="38" fontId="4" fillId="0" borderId="16" xfId="2" applyNumberFormat="1" applyFont="1" applyBorder="1"/>
    <xf numFmtId="38" fontId="4" fillId="0" borderId="42" xfId="2" applyNumberFormat="1" applyFont="1" applyBorder="1"/>
    <xf numFmtId="38" fontId="4" fillId="0" borderId="0" xfId="2" applyNumberFormat="1" applyFont="1" applyBorder="1"/>
    <xf numFmtId="38" fontId="4" fillId="0" borderId="42" xfId="2" applyNumberFormat="1" applyFont="1" applyBorder="1" applyAlignment="1">
      <alignment horizontal="center"/>
    </xf>
    <xf numFmtId="38" fontId="4" fillId="0" borderId="0" xfId="2" applyNumberFormat="1" applyFont="1" applyBorder="1" applyAlignment="1">
      <alignment horizontal="center"/>
    </xf>
    <xf numFmtId="38" fontId="4" fillId="0" borderId="0" xfId="2" applyNumberFormat="1" applyFont="1" applyBorder="1" applyAlignment="1"/>
    <xf numFmtId="38" fontId="4" fillId="0" borderId="33" xfId="2" applyNumberFormat="1" applyFont="1" applyBorder="1" applyAlignment="1">
      <alignment horizontal="center"/>
    </xf>
    <xf numFmtId="38" fontId="4" fillId="0" borderId="46" xfId="2" applyNumberFormat="1" applyFont="1" applyBorder="1" applyAlignment="1">
      <alignment horizontal="center"/>
    </xf>
    <xf numFmtId="38" fontId="4" fillId="0" borderId="46" xfId="2" applyNumberFormat="1" applyFont="1" applyBorder="1" applyAlignment="1"/>
    <xf numFmtId="6" fontId="0" fillId="7" borderId="16" xfId="0" applyNumberFormat="1" applyFill="1" applyBorder="1" applyAlignment="1"/>
    <xf numFmtId="6" fontId="0" fillId="7" borderId="7" xfId="0" applyNumberFormat="1" applyFill="1" applyBorder="1" applyAlignment="1"/>
    <xf numFmtId="0" fontId="21" fillId="0" borderId="21" xfId="0" applyFont="1" applyBorder="1" applyAlignment="1">
      <alignment horizontal="center" vertical="center" wrapText="1"/>
    </xf>
    <xf numFmtId="0" fontId="20" fillId="0" borderId="15" xfId="0" applyFont="1" applyBorder="1"/>
    <xf numFmtId="0" fontId="21" fillId="0" borderId="6" xfId="0" applyFont="1" applyBorder="1" applyAlignment="1">
      <alignment horizontal="center" vertical="center" wrapText="1"/>
    </xf>
    <xf numFmtId="0" fontId="20" fillId="0" borderId="7" xfId="0" applyFont="1" applyBorder="1"/>
    <xf numFmtId="169" fontId="4" fillId="0" borderId="42" xfId="0" applyNumberFormat="1" applyFont="1" applyBorder="1"/>
    <xf numFmtId="169" fontId="4" fillId="0" borderId="33" xfId="0" applyNumberFormat="1" applyFont="1" applyBorder="1"/>
    <xf numFmtId="169" fontId="4" fillId="0" borderId="0" xfId="0" applyNumberFormat="1" applyFont="1" applyBorder="1"/>
    <xf numFmtId="169" fontId="4" fillId="0" borderId="46" xfId="0" applyNumberFormat="1" applyFont="1" applyBorder="1"/>
    <xf numFmtId="169" fontId="4" fillId="0" borderId="43" xfId="2" applyNumberFormat="1" applyFont="1" applyBorder="1"/>
    <xf numFmtId="169" fontId="4" fillId="0" borderId="45" xfId="2" applyNumberFormat="1" applyFont="1" applyBorder="1"/>
    <xf numFmtId="0" fontId="0" fillId="0" borderId="21" xfId="0" applyBorder="1"/>
    <xf numFmtId="0" fontId="0" fillId="7" borderId="14" xfId="0" applyFill="1" applyBorder="1"/>
    <xf numFmtId="169" fontId="0" fillId="7" borderId="14" xfId="0" applyNumberFormat="1" applyFill="1" applyBorder="1" applyAlignment="1">
      <alignment horizontal="center"/>
    </xf>
    <xf numFmtId="169" fontId="0" fillId="7" borderId="6" xfId="0" applyNumberFormat="1" applyFill="1" applyBorder="1" applyAlignment="1">
      <alignment horizontal="center"/>
    </xf>
    <xf numFmtId="0" fontId="0" fillId="0" borderId="15" xfId="0" applyBorder="1"/>
    <xf numFmtId="6" fontId="0" fillId="0" borderId="16" xfId="0" applyNumberFormat="1" applyBorder="1"/>
    <xf numFmtId="6" fontId="0" fillId="7" borderId="16" xfId="0" applyNumberFormat="1" applyFill="1" applyBorder="1"/>
    <xf numFmtId="6" fontId="0" fillId="7" borderId="7" xfId="0" applyNumberFormat="1" applyFill="1" applyBorder="1"/>
    <xf numFmtId="0" fontId="0" fillId="0" borderId="15" xfId="0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0" fillId="7" borderId="16" xfId="0" applyFill="1" applyBorder="1"/>
    <xf numFmtId="169" fontId="0" fillId="7" borderId="16" xfId="0" applyNumberFormat="1" applyFill="1" applyBorder="1" applyAlignment="1">
      <alignment horizontal="center"/>
    </xf>
    <xf numFmtId="169" fontId="0" fillId="7" borderId="7" xfId="0" applyNumberFormat="1" applyFill="1" applyBorder="1" applyAlignment="1">
      <alignment horizontal="center"/>
    </xf>
    <xf numFmtId="0" fontId="20" fillId="5" borderId="15" xfId="0" applyFont="1" applyFill="1" applyBorder="1" applyAlignment="1"/>
    <xf numFmtId="0" fontId="20" fillId="5" borderId="21" xfId="0" applyFont="1" applyFill="1" applyBorder="1"/>
    <xf numFmtId="0" fontId="20" fillId="5" borderId="7" xfId="0" applyFont="1" applyFill="1" applyBorder="1" applyAlignment="1"/>
    <xf numFmtId="0" fontId="20" fillId="5" borderId="6" xfId="0" applyFont="1" applyFill="1" applyBorder="1"/>
    <xf numFmtId="0" fontId="17" fillId="0" borderId="1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1" xfId="0" applyBorder="1"/>
    <xf numFmtId="9" fontId="0" fillId="0" borderId="6" xfId="1" applyFont="1" applyBorder="1"/>
    <xf numFmtId="0" fontId="0" fillId="9" borderId="0" xfId="0" applyFill="1"/>
    <xf numFmtId="0" fontId="22" fillId="8" borderId="0" xfId="0" applyFont="1" applyFill="1"/>
    <xf numFmtId="0" fontId="0" fillId="8" borderId="0" xfId="0" applyFill="1"/>
    <xf numFmtId="8" fontId="0" fillId="8" borderId="0" xfId="0" applyNumberFormat="1" applyFill="1"/>
    <xf numFmtId="0" fontId="0" fillId="10" borderId="0" xfId="0" applyFill="1"/>
    <xf numFmtId="0" fontId="0" fillId="11" borderId="0" xfId="0" applyFill="1"/>
    <xf numFmtId="9" fontId="0" fillId="11" borderId="0" xfId="1" applyFont="1" applyFill="1"/>
    <xf numFmtId="0" fontId="0" fillId="0" borderId="7" xfId="0" applyBorder="1" applyAlignment="1">
      <alignment horizontal="center"/>
    </xf>
    <xf numFmtId="169" fontId="0" fillId="0" borderId="16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44" fontId="4" fillId="7" borderId="15" xfId="2" applyFont="1" applyFill="1" applyBorder="1"/>
    <xf numFmtId="0" fontId="19" fillId="0" borderId="4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58" xfId="0" applyBorder="1" applyAlignment="1">
      <alignment horizontal="center"/>
    </xf>
    <xf numFmtId="0" fontId="19" fillId="0" borderId="39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169" fontId="4" fillId="0" borderId="16" xfId="2" applyNumberFormat="1" applyFont="1" applyFill="1" applyBorder="1" applyAlignment="1">
      <alignment horizontal="center"/>
    </xf>
    <xf numFmtId="169" fontId="4" fillId="0" borderId="7" xfId="2" applyNumberFormat="1" applyFont="1" applyFill="1" applyBorder="1" applyAlignment="1">
      <alignment horizontal="center"/>
    </xf>
    <xf numFmtId="0" fontId="0" fillId="7" borderId="17" xfId="0" applyFill="1" applyBorder="1"/>
    <xf numFmtId="0" fontId="0" fillId="7" borderId="36" xfId="0" applyFill="1" applyBorder="1"/>
    <xf numFmtId="0" fontId="0" fillId="7" borderId="21" xfId="0" applyFill="1" applyBorder="1"/>
    <xf numFmtId="169" fontId="0" fillId="7" borderId="13" xfId="0" applyNumberFormat="1" applyFill="1" applyBorder="1"/>
    <xf numFmtId="38" fontId="0" fillId="7" borderId="0" xfId="0" applyNumberFormat="1" applyFill="1" applyBorder="1"/>
    <xf numFmtId="38" fontId="0" fillId="7" borderId="14" xfId="0" applyNumberFormat="1" applyFill="1" applyBorder="1"/>
    <xf numFmtId="0" fontId="0" fillId="7" borderId="0" xfId="0" applyFill="1" applyBorder="1"/>
    <xf numFmtId="169" fontId="0" fillId="7" borderId="5" xfId="0" applyNumberFormat="1" applyFill="1" applyBorder="1"/>
    <xf numFmtId="0" fontId="0" fillId="7" borderId="1" xfId="0" applyFill="1" applyBorder="1"/>
    <xf numFmtId="0" fontId="0" fillId="7" borderId="6" xfId="0" applyFill="1" applyBorder="1"/>
    <xf numFmtId="38" fontId="4" fillId="0" borderId="15" xfId="2" applyNumberFormat="1" applyFont="1" applyBorder="1" applyAlignment="1">
      <alignment horizontal="center"/>
    </xf>
    <xf numFmtId="0" fontId="0" fillId="12" borderId="38" xfId="0" applyFill="1" applyBorder="1"/>
    <xf numFmtId="0" fontId="0" fillId="12" borderId="39" xfId="0" applyFill="1" applyBorder="1"/>
    <xf numFmtId="0" fontId="0" fillId="12" borderId="34" xfId="0" applyFill="1" applyBorder="1"/>
    <xf numFmtId="0" fontId="0" fillId="12" borderId="59" xfId="0" applyFill="1" applyBorder="1"/>
    <xf numFmtId="0" fontId="0" fillId="12" borderId="58" xfId="0" applyFill="1" applyBorder="1"/>
    <xf numFmtId="0" fontId="0" fillId="12" borderId="0" xfId="0" applyFill="1" applyBorder="1"/>
    <xf numFmtId="3" fontId="0" fillId="12" borderId="45" xfId="0" applyNumberFormat="1" applyFill="1" applyBorder="1"/>
    <xf numFmtId="2" fontId="0" fillId="12" borderId="45" xfId="0" applyNumberFormat="1" applyFill="1" applyBorder="1"/>
    <xf numFmtId="0" fontId="0" fillId="5" borderId="34" xfId="0" applyFill="1" applyBorder="1"/>
    <xf numFmtId="0" fontId="0" fillId="0" borderId="14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>
      <alignment horizontal="right" vertical="center" wrapText="1"/>
    </xf>
    <xf numFmtId="0" fontId="0" fillId="0" borderId="14" xfId="0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2" fontId="0" fillId="0" borderId="0" xfId="0" applyNumberFormat="1" applyFill="1" applyBorder="1" applyAlignment="1">
      <alignment horizontal="right" vertical="center" wrapText="1"/>
    </xf>
    <xf numFmtId="2" fontId="0" fillId="0" borderId="14" xfId="0" applyNumberFormat="1" applyFill="1" applyBorder="1" applyAlignment="1">
      <alignment horizontal="right" vertical="center" wrapText="1"/>
    </xf>
    <xf numFmtId="0" fontId="0" fillId="0" borderId="13" xfId="0" applyFill="1" applyBorder="1" applyAlignment="1">
      <alignment horizontal="right" vertical="center" wrapText="1"/>
    </xf>
    <xf numFmtId="2" fontId="0" fillId="0" borderId="14" xfId="0" applyNumberFormat="1" applyBorder="1"/>
    <xf numFmtId="0" fontId="0" fillId="0" borderId="0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0" fillId="0" borderId="0" xfId="0" applyNumberFormat="1" applyBorder="1" applyAlignment="1">
      <alignment horizontal="right" vertical="center" wrapText="1"/>
    </xf>
    <xf numFmtId="2" fontId="0" fillId="0" borderId="14" xfId="0" applyNumberFormat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2" fontId="0" fillId="0" borderId="6" xfId="0" applyNumberFormat="1" applyBorder="1"/>
    <xf numFmtId="2" fontId="0" fillId="0" borderId="0" xfId="0" applyNumberFormat="1" applyBorder="1"/>
    <xf numFmtId="0" fontId="0" fillId="6" borderId="13" xfId="0" applyFill="1" applyBorder="1"/>
    <xf numFmtId="0" fontId="0" fillId="6" borderId="0" xfId="0" applyFill="1" applyBorder="1"/>
    <xf numFmtId="2" fontId="0" fillId="6" borderId="0" xfId="0" applyNumberFormat="1" applyFill="1" applyBorder="1"/>
    <xf numFmtId="171" fontId="0" fillId="6" borderId="0" xfId="1" applyNumberFormat="1" applyFont="1" applyFill="1" applyBorder="1"/>
    <xf numFmtId="0" fontId="0" fillId="6" borderId="14" xfId="1" applyNumberFormat="1" applyFont="1" applyFill="1" applyBorder="1"/>
    <xf numFmtId="0" fontId="0" fillId="6" borderId="0" xfId="0" applyFill="1"/>
    <xf numFmtId="172" fontId="0" fillId="6" borderId="0" xfId="0" applyNumberFormat="1" applyFill="1" applyBorder="1"/>
    <xf numFmtId="173" fontId="0" fillId="6" borderId="0" xfId="1" applyNumberFormat="1" applyFont="1" applyFill="1" applyBorder="1"/>
    <xf numFmtId="0" fontId="0" fillId="6" borderId="14" xfId="0" applyFill="1" applyBorder="1"/>
    <xf numFmtId="0" fontId="0" fillId="0" borderId="14" xfId="1" applyNumberFormat="1" applyFont="1" applyBorder="1"/>
    <xf numFmtId="172" fontId="0" fillId="0" borderId="0" xfId="0" applyNumberFormat="1" applyBorder="1"/>
    <xf numFmtId="0" fontId="0" fillId="0" borderId="1" xfId="0" applyFill="1" applyBorder="1" applyAlignment="1">
      <alignment horizontal="right" vertical="center" wrapText="1"/>
    </xf>
    <xf numFmtId="2" fontId="0" fillId="0" borderId="1" xfId="0" applyNumberFormat="1" applyBorder="1"/>
    <xf numFmtId="0" fontId="10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27" xfId="0" applyNumberFormat="1" applyFont="1" applyBorder="1" applyAlignment="1">
      <alignment horizontal="center"/>
    </xf>
    <xf numFmtId="0" fontId="15" fillId="0" borderId="8" xfId="0" applyFont="1" applyBorder="1"/>
    <xf numFmtId="0" fontId="15" fillId="0" borderId="8" xfId="0" applyFont="1" applyFill="1" applyBorder="1"/>
    <xf numFmtId="38" fontId="15" fillId="5" borderId="52" xfId="0" applyNumberFormat="1" applyFont="1" applyFill="1" applyBorder="1"/>
    <xf numFmtId="9" fontId="19" fillId="0" borderId="43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9" fontId="0" fillId="0" borderId="44" xfId="0" applyNumberFormat="1" applyBorder="1" applyAlignment="1">
      <alignment horizontal="center"/>
    </xf>
    <xf numFmtId="0" fontId="4" fillId="7" borderId="44" xfId="2" applyNumberFormat="1" applyFont="1" applyFill="1" applyBorder="1"/>
    <xf numFmtId="44" fontId="4" fillId="7" borderId="44" xfId="2" applyFont="1" applyFill="1" applyBorder="1"/>
    <xf numFmtId="44" fontId="4" fillId="7" borderId="42" xfId="2" applyFont="1" applyFill="1" applyBorder="1"/>
    <xf numFmtId="44" fontId="4" fillId="7" borderId="43" xfId="2" applyFont="1" applyFill="1" applyBorder="1"/>
    <xf numFmtId="0" fontId="0" fillId="7" borderId="44" xfId="0" applyFill="1" applyBorder="1"/>
    <xf numFmtId="44" fontId="0" fillId="7" borderId="44" xfId="2" applyFont="1" applyFill="1" applyBorder="1"/>
    <xf numFmtId="44" fontId="4" fillId="7" borderId="0" xfId="2" applyFont="1" applyFill="1" applyBorder="1"/>
    <xf numFmtId="44" fontId="0" fillId="7" borderId="44" xfId="0" applyNumberFormat="1" applyFill="1" applyBorder="1"/>
    <xf numFmtId="44" fontId="4" fillId="7" borderId="44" xfId="2" applyNumberFormat="1" applyFont="1" applyFill="1" applyBorder="1"/>
    <xf numFmtId="0" fontId="4" fillId="7" borderId="30" xfId="2" applyNumberFormat="1" applyFont="1" applyFill="1" applyBorder="1"/>
    <xf numFmtId="44" fontId="4" fillId="7" borderId="30" xfId="2" applyFont="1" applyFill="1" applyBorder="1"/>
    <xf numFmtId="44" fontId="4" fillId="7" borderId="33" xfId="2" applyFont="1" applyFill="1" applyBorder="1"/>
    <xf numFmtId="44" fontId="4" fillId="7" borderId="45" xfId="2" applyFont="1" applyFill="1" applyBorder="1"/>
    <xf numFmtId="44" fontId="0" fillId="7" borderId="30" xfId="0" applyNumberFormat="1" applyFill="1" applyBorder="1"/>
    <xf numFmtId="44" fontId="0" fillId="7" borderId="30" xfId="2" applyFont="1" applyFill="1" applyBorder="1"/>
    <xf numFmtId="44" fontId="4" fillId="7" borderId="46" xfId="2" applyFont="1" applyFill="1" applyBorder="1"/>
    <xf numFmtId="44" fontId="4" fillId="7" borderId="30" xfId="2" applyNumberFormat="1" applyFont="1" applyFill="1" applyBorder="1"/>
    <xf numFmtId="8" fontId="4" fillId="7" borderId="44" xfId="2" applyNumberFormat="1" applyFont="1" applyFill="1" applyBorder="1"/>
    <xf numFmtId="44" fontId="4" fillId="7" borderId="42" xfId="2" applyNumberFormat="1" applyFont="1" applyFill="1" applyBorder="1"/>
    <xf numFmtId="44" fontId="4" fillId="7" borderId="33" xfId="2" applyNumberFormat="1" applyFont="1" applyFill="1" applyBorder="1"/>
    <xf numFmtId="38" fontId="4" fillId="5" borderId="40" xfId="0" applyNumberFormat="1" applyFont="1" applyFill="1" applyBorder="1"/>
    <xf numFmtId="38" fontId="15" fillId="5" borderId="44" xfId="0" applyNumberFormat="1" applyFont="1" applyFill="1" applyBorder="1"/>
    <xf numFmtId="38" fontId="15" fillId="5" borderId="30" xfId="0" applyNumberFormat="1" applyFont="1" applyFill="1" applyBorder="1"/>
    <xf numFmtId="38" fontId="4" fillId="5" borderId="49" xfId="0" applyNumberFormat="1" applyFont="1" applyFill="1" applyBorder="1"/>
    <xf numFmtId="10" fontId="4" fillId="5" borderId="43" xfId="0" applyNumberFormat="1" applyFont="1" applyFill="1" applyBorder="1" applyAlignment="1">
      <alignment horizontal="center"/>
    </xf>
    <xf numFmtId="44" fontId="4" fillId="5" borderId="43" xfId="0" applyNumberFormat="1" applyFont="1" applyFill="1" applyBorder="1"/>
    <xf numFmtId="10" fontId="4" fillId="5" borderId="54" xfId="0" applyNumberFormat="1" applyFont="1" applyFill="1" applyBorder="1"/>
    <xf numFmtId="0" fontId="4" fillId="0" borderId="18" xfId="0" applyFont="1" applyBorder="1"/>
    <xf numFmtId="44" fontId="4" fillId="5" borderId="52" xfId="2" applyFont="1" applyFill="1" applyBorder="1"/>
    <xf numFmtId="44" fontId="4" fillId="5" borderId="51" xfId="2" applyFont="1" applyFill="1" applyBorder="1"/>
    <xf numFmtId="0" fontId="0" fillId="0" borderId="34" xfId="0" applyBorder="1"/>
    <xf numFmtId="0" fontId="4" fillId="0" borderId="18" xfId="0" applyFont="1" applyFill="1" applyBorder="1"/>
    <xf numFmtId="9" fontId="4" fillId="0" borderId="18" xfId="0" applyNumberFormat="1" applyFont="1" applyBorder="1"/>
    <xf numFmtId="169" fontId="4" fillId="0" borderId="18" xfId="0" applyNumberFormat="1" applyFont="1" applyBorder="1"/>
    <xf numFmtId="8" fontId="4" fillId="0" borderId="18" xfId="0" applyNumberFormat="1" applyFont="1" applyBorder="1"/>
    <xf numFmtId="2" fontId="4" fillId="0" borderId="18" xfId="0" applyNumberFormat="1" applyFont="1" applyBorder="1"/>
    <xf numFmtId="10" fontId="4" fillId="0" borderId="18" xfId="0" applyNumberFormat="1" applyFont="1" applyBorder="1"/>
    <xf numFmtId="6" fontId="0" fillId="0" borderId="0" xfId="0" applyNumberFormat="1"/>
    <xf numFmtId="167" fontId="0" fillId="0" borderId="0" xfId="0" applyNumberFormat="1"/>
    <xf numFmtId="9" fontId="0" fillId="0" borderId="18" xfId="0" applyNumberFormat="1" applyBorder="1"/>
    <xf numFmtId="0" fontId="0" fillId="0" borderId="18" xfId="0" applyBorder="1"/>
    <xf numFmtId="8" fontId="0" fillId="0" borderId="18" xfId="0" applyNumberFormat="1" applyBorder="1"/>
    <xf numFmtId="10" fontId="0" fillId="0" borderId="18" xfId="1" applyNumberFormat="1" applyFont="1" applyBorder="1"/>
    <xf numFmtId="2" fontId="0" fillId="0" borderId="18" xfId="0" applyNumberFormat="1" applyBorder="1"/>
    <xf numFmtId="9" fontId="0" fillId="0" borderId="18" xfId="1" applyFont="1" applyBorder="1"/>
    <xf numFmtId="44" fontId="0" fillId="0" borderId="18" xfId="2" applyFont="1" applyBorder="1"/>
    <xf numFmtId="44" fontId="4" fillId="5" borderId="0" xfId="2" applyFont="1" applyFill="1" applyBorder="1"/>
    <xf numFmtId="44" fontId="4" fillId="5" borderId="43" xfId="2" applyFont="1" applyFill="1" applyBorder="1"/>
    <xf numFmtId="44" fontId="4" fillId="5" borderId="46" xfId="2" applyFont="1" applyFill="1" applyBorder="1"/>
    <xf numFmtId="44" fontId="4" fillId="5" borderId="45" xfId="2" applyFont="1" applyFill="1" applyBorder="1"/>
    <xf numFmtId="44" fontId="13" fillId="5" borderId="52" xfId="2" applyFont="1" applyFill="1" applyBorder="1"/>
    <xf numFmtId="44" fontId="15" fillId="5" borderId="52" xfId="2" applyFont="1" applyFill="1" applyBorder="1"/>
    <xf numFmtId="169" fontId="13" fillId="5" borderId="49" xfId="0" applyNumberFormat="1" applyFont="1" applyFill="1" applyBorder="1"/>
    <xf numFmtId="0" fontId="0" fillId="0" borderId="18" xfId="0" applyNumberFormat="1" applyBorder="1"/>
    <xf numFmtId="164" fontId="0" fillId="0" borderId="18" xfId="0" applyNumberFormat="1" applyBorder="1"/>
    <xf numFmtId="8" fontId="4" fillId="0" borderId="16" xfId="2" applyNumberFormat="1" applyFont="1" applyBorder="1"/>
    <xf numFmtId="8" fontId="4" fillId="6" borderId="0" xfId="2" applyNumberFormat="1" applyFont="1" applyFill="1"/>
    <xf numFmtId="44" fontId="16" fillId="0" borderId="0" xfId="0" applyNumberFormat="1" applyFont="1"/>
    <xf numFmtId="44" fontId="0" fillId="6" borderId="0" xfId="0" applyNumberFormat="1" applyFill="1"/>
    <xf numFmtId="0" fontId="4" fillId="6" borderId="0" xfId="0" applyFont="1" applyFill="1" applyBorder="1"/>
    <xf numFmtId="0" fontId="4" fillId="0" borderId="13" xfId="0" applyFont="1" applyFill="1" applyBorder="1"/>
    <xf numFmtId="172" fontId="15" fillId="0" borderId="8" xfId="0" applyNumberFormat="1" applyFont="1" applyBorder="1" applyAlignment="1">
      <alignment horizontal="center"/>
    </xf>
    <xf numFmtId="10" fontId="0" fillId="0" borderId="0" xfId="1" applyNumberFormat="1" applyFont="1" applyBorder="1"/>
    <xf numFmtId="0" fontId="0" fillId="0" borderId="0" xfId="1" applyNumberFormat="1" applyFont="1" applyBorder="1"/>
    <xf numFmtId="0" fontId="0" fillId="0" borderId="0" xfId="0" applyFill="1" applyBorder="1"/>
    <xf numFmtId="3" fontId="0" fillId="0" borderId="0" xfId="0" applyNumberFormat="1" applyFill="1" applyBorder="1"/>
    <xf numFmtId="2" fontId="0" fillId="0" borderId="0" xfId="0" applyNumberFormat="1" applyFill="1" applyBorder="1"/>
    <xf numFmtId="0" fontId="20" fillId="0" borderId="0" xfId="0" applyFont="1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171" fontId="0" fillId="0" borderId="0" xfId="1" applyNumberFormat="1" applyFont="1" applyFill="1" applyBorder="1"/>
    <xf numFmtId="0" fontId="0" fillId="0" borderId="0" xfId="1" applyNumberFormat="1" applyFont="1" applyFill="1" applyBorder="1"/>
    <xf numFmtId="172" fontId="0" fillId="0" borderId="0" xfId="0" applyNumberFormat="1" applyFill="1" applyBorder="1"/>
    <xf numFmtId="173" fontId="0" fillId="0" borderId="0" xfId="1" applyNumberFormat="1" applyFont="1" applyFill="1" applyBorder="1"/>
    <xf numFmtId="0" fontId="4" fillId="13" borderId="7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right"/>
    </xf>
    <xf numFmtId="0" fontId="0" fillId="13" borderId="0" xfId="0" applyFill="1" applyAlignment="1">
      <alignment horizontal="right"/>
    </xf>
    <xf numFmtId="0" fontId="0" fillId="13" borderId="8" xfId="0" applyFill="1" applyBorder="1"/>
    <xf numFmtId="0" fontId="4" fillId="13" borderId="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4" fontId="13" fillId="5" borderId="15" xfId="2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/>
    </xf>
    <xf numFmtId="10" fontId="4" fillId="5" borderId="16" xfId="0" applyNumberFormat="1" applyFont="1" applyFill="1" applyBorder="1" applyAlignment="1">
      <alignment horizontal="center"/>
    </xf>
    <xf numFmtId="164" fontId="4" fillId="5" borderId="16" xfId="0" applyNumberFormat="1" applyFont="1" applyFill="1" applyBorder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4" fontId="4" fillId="5" borderId="16" xfId="0" applyNumberFormat="1" applyFont="1" applyFill="1" applyBorder="1" applyAlignment="1">
      <alignment horizontal="center"/>
    </xf>
    <xf numFmtId="169" fontId="4" fillId="5" borderId="16" xfId="2" applyNumberFormat="1" applyFont="1" applyFill="1" applyBorder="1"/>
    <xf numFmtId="44" fontId="4" fillId="5" borderId="16" xfId="2" applyNumberFormat="1" applyFont="1" applyFill="1" applyBorder="1" applyAlignment="1">
      <alignment horizontal="center"/>
    </xf>
    <xf numFmtId="10" fontId="4" fillId="5" borderId="16" xfId="1" applyNumberFormat="1" applyFont="1" applyFill="1" applyBorder="1" applyAlignment="1">
      <alignment horizontal="center"/>
    </xf>
    <xf numFmtId="164" fontId="4" fillId="5" borderId="16" xfId="1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10" fontId="4" fillId="5" borderId="7" xfId="1" applyNumberFormat="1" applyFont="1" applyFill="1" applyBorder="1" applyAlignment="1">
      <alignment horizontal="center"/>
    </xf>
    <xf numFmtId="164" fontId="4" fillId="5" borderId="7" xfId="1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169" fontId="4" fillId="5" borderId="7" xfId="2" applyNumberFormat="1" applyFont="1" applyFill="1" applyBorder="1"/>
    <xf numFmtId="44" fontId="4" fillId="5" borderId="7" xfId="2" applyNumberFormat="1" applyFont="1" applyFill="1" applyBorder="1" applyAlignment="1">
      <alignment horizontal="center"/>
    </xf>
    <xf numFmtId="44" fontId="13" fillId="5" borderId="15" xfId="0" applyNumberFormat="1" applyFont="1" applyFill="1" applyBorder="1" applyAlignment="1">
      <alignment horizontal="center" vertical="center"/>
    </xf>
    <xf numFmtId="44" fontId="13" fillId="5" borderId="15" xfId="0" applyNumberFormat="1" applyFont="1" applyFill="1" applyBorder="1"/>
    <xf numFmtId="44" fontId="4" fillId="5" borderId="16" xfId="0" applyNumberFormat="1" applyFont="1" applyFill="1" applyBorder="1"/>
    <xf numFmtId="44" fontId="13" fillId="5" borderId="16" xfId="0" applyNumberFormat="1" applyFont="1" applyFill="1" applyBorder="1"/>
    <xf numFmtId="44" fontId="4" fillId="5" borderId="7" xfId="0" applyNumberFormat="1" applyFont="1" applyFill="1" applyBorder="1"/>
    <xf numFmtId="0" fontId="0" fillId="13" borderId="0" xfId="0" applyFill="1"/>
    <xf numFmtId="0" fontId="0" fillId="13" borderId="8" xfId="0" applyFill="1" applyBorder="1" applyAlignment="1">
      <alignment horizontal="right"/>
    </xf>
    <xf numFmtId="44" fontId="13" fillId="5" borderId="15" xfId="2" applyFont="1" applyFill="1" applyBorder="1" applyAlignment="1">
      <alignment horizontal="center" vertical="center"/>
    </xf>
    <xf numFmtId="44" fontId="4" fillId="5" borderId="16" xfId="2" applyFont="1" applyFill="1" applyBorder="1" applyAlignment="1">
      <alignment horizontal="center"/>
    </xf>
    <xf numFmtId="44" fontId="4" fillId="5" borderId="7" xfId="2" applyFont="1" applyFill="1" applyBorder="1" applyAlignment="1">
      <alignment horizontal="center"/>
    </xf>
    <xf numFmtId="169" fontId="4" fillId="0" borderId="0" xfId="0" applyNumberFormat="1" applyFont="1"/>
    <xf numFmtId="0" fontId="4" fillId="5" borderId="50" xfId="0" applyFont="1" applyFill="1" applyBorder="1" applyAlignment="1">
      <alignment horizontal="center"/>
    </xf>
    <xf numFmtId="0" fontId="4" fillId="15" borderId="41" xfId="0" applyFont="1" applyFill="1" applyBorder="1"/>
    <xf numFmtId="0" fontId="4" fillId="15" borderId="0" xfId="0" applyFont="1" applyFill="1" applyBorder="1"/>
    <xf numFmtId="0" fontId="4" fillId="15" borderId="43" xfId="0" applyFont="1" applyFill="1" applyBorder="1"/>
    <xf numFmtId="0" fontId="4" fillId="15" borderId="44" xfId="0" applyFont="1" applyFill="1" applyBorder="1"/>
    <xf numFmtId="169" fontId="23" fillId="14" borderId="0" xfId="0" applyNumberFormat="1" applyFont="1" applyFill="1" applyBorder="1" applyAlignment="1"/>
    <xf numFmtId="169" fontId="23" fillId="14" borderId="43" xfId="0" applyNumberFormat="1" applyFont="1" applyFill="1" applyBorder="1" applyAlignment="1"/>
    <xf numFmtId="44" fontId="4" fillId="15" borderId="41" xfId="2" applyFont="1" applyFill="1" applyBorder="1"/>
    <xf numFmtId="44" fontId="4" fillId="15" borderId="0" xfId="2" applyFont="1" applyFill="1" applyBorder="1"/>
    <xf numFmtId="44" fontId="4" fillId="15" borderId="43" xfId="2" applyFont="1" applyFill="1" applyBorder="1"/>
    <xf numFmtId="38" fontId="4" fillId="15" borderId="42" xfId="0" applyNumberFormat="1" applyFont="1" applyFill="1" applyBorder="1"/>
    <xf numFmtId="0" fontId="23" fillId="14" borderId="38" xfId="0" applyFont="1" applyFill="1" applyBorder="1"/>
    <xf numFmtId="0" fontId="23" fillId="14" borderId="56" xfId="0" applyFont="1" applyFill="1" applyBorder="1"/>
    <xf numFmtId="0" fontId="23" fillId="14" borderId="33" xfId="0" applyFont="1" applyFill="1" applyBorder="1"/>
    <xf numFmtId="10" fontId="23" fillId="14" borderId="54" xfId="0" applyNumberFormat="1" applyFont="1" applyFill="1" applyBorder="1"/>
    <xf numFmtId="0" fontId="23" fillId="14" borderId="41" xfId="0" applyFont="1" applyFill="1" applyBorder="1"/>
    <xf numFmtId="0" fontId="23" fillId="14" borderId="39" xfId="0" applyFont="1" applyFill="1" applyBorder="1"/>
    <xf numFmtId="0" fontId="23" fillId="14" borderId="42" xfId="0" applyFont="1" applyFill="1" applyBorder="1"/>
    <xf numFmtId="0" fontId="23" fillId="14" borderId="0" xfId="0" applyFont="1" applyFill="1" applyBorder="1"/>
    <xf numFmtId="10" fontId="23" fillId="14" borderId="43" xfId="0" applyNumberFormat="1" applyFont="1" applyFill="1" applyBorder="1" applyAlignment="1">
      <alignment horizontal="left"/>
    </xf>
    <xf numFmtId="10" fontId="23" fillId="14" borderId="50" xfId="0" applyNumberFormat="1" applyFont="1" applyFill="1" applyBorder="1" applyAlignment="1">
      <alignment horizontal="center"/>
    </xf>
    <xf numFmtId="9" fontId="23" fillId="14" borderId="0" xfId="0" applyNumberFormat="1" applyFont="1" applyFill="1" applyBorder="1" applyAlignment="1">
      <alignment horizontal="left"/>
    </xf>
    <xf numFmtId="0" fontId="23" fillId="14" borderId="53" xfId="0" applyFont="1" applyFill="1" applyBorder="1" applyAlignment="1">
      <alignment horizontal="center"/>
    </xf>
    <xf numFmtId="0" fontId="23" fillId="14" borderId="33" xfId="0" applyFont="1" applyFill="1" applyBorder="1" applyAlignment="1">
      <alignment horizontal="center"/>
    </xf>
    <xf numFmtId="0" fontId="23" fillId="14" borderId="46" xfId="0" applyFont="1" applyFill="1" applyBorder="1" applyAlignment="1">
      <alignment horizontal="center"/>
    </xf>
    <xf numFmtId="0" fontId="23" fillId="14" borderId="45" xfId="0" applyFont="1" applyFill="1" applyBorder="1" applyAlignment="1">
      <alignment horizontal="center"/>
    </xf>
    <xf numFmtId="0" fontId="23" fillId="14" borderId="55" xfId="0" applyFont="1" applyFill="1" applyBorder="1"/>
    <xf numFmtId="0" fontId="23" fillId="14" borderId="40" xfId="0" applyFont="1" applyFill="1" applyBorder="1"/>
    <xf numFmtId="170" fontId="23" fillId="14" borderId="13" xfId="0" applyNumberFormat="1" applyFont="1" applyFill="1" applyBorder="1"/>
    <xf numFmtId="0" fontId="23" fillId="14" borderId="43" xfId="0" applyFont="1" applyFill="1" applyBorder="1"/>
    <xf numFmtId="0" fontId="23" fillId="14" borderId="44" xfId="0" applyFont="1" applyFill="1" applyBorder="1"/>
    <xf numFmtId="9" fontId="23" fillId="14" borderId="0" xfId="0" applyNumberFormat="1" applyFont="1" applyFill="1" applyBorder="1"/>
    <xf numFmtId="44" fontId="23" fillId="14" borderId="13" xfId="0" applyNumberFormat="1" applyFont="1" applyFill="1" applyBorder="1"/>
    <xf numFmtId="167" fontId="23" fillId="14" borderId="0" xfId="0" applyNumberFormat="1" applyFont="1" applyFill="1" applyBorder="1"/>
    <xf numFmtId="0" fontId="23" fillId="14" borderId="57" xfId="0" applyFont="1" applyFill="1" applyBorder="1"/>
    <xf numFmtId="0" fontId="23" fillId="14" borderId="46" xfId="0" applyFont="1" applyFill="1" applyBorder="1"/>
    <xf numFmtId="0" fontId="23" fillId="14" borderId="45" xfId="0" applyFont="1" applyFill="1" applyBorder="1"/>
    <xf numFmtId="0" fontId="23" fillId="14" borderId="30" xfId="0" applyFont="1" applyFill="1" applyBorder="1"/>
    <xf numFmtId="0" fontId="10" fillId="14" borderId="50" xfId="0" applyFont="1" applyFill="1" applyBorder="1" applyAlignment="1">
      <alignment horizontal="center"/>
    </xf>
    <xf numFmtId="0" fontId="10" fillId="14" borderId="48" xfId="0" applyFont="1" applyFill="1" applyBorder="1" applyAlignment="1">
      <alignment horizontal="center"/>
    </xf>
    <xf numFmtId="0" fontId="4" fillId="15" borderId="50" xfId="0" applyFont="1" applyFill="1" applyBorder="1" applyAlignment="1">
      <alignment horizontal="center"/>
    </xf>
    <xf numFmtId="0" fontId="10" fillId="14" borderId="53" xfId="0" applyFont="1" applyFill="1" applyBorder="1" applyAlignment="1">
      <alignment horizontal="center"/>
    </xf>
    <xf numFmtId="0" fontId="23" fillId="14" borderId="50" xfId="0" applyFont="1" applyFill="1" applyBorder="1" applyAlignment="1">
      <alignment horizontal="center"/>
    </xf>
    <xf numFmtId="0" fontId="0" fillId="0" borderId="0" xfId="0" applyFill="1"/>
    <xf numFmtId="0" fontId="23" fillId="14" borderId="30" xfId="0" applyFont="1" applyFill="1" applyBorder="1" applyAlignment="1">
      <alignment vertical="center"/>
    </xf>
    <xf numFmtId="0" fontId="23" fillId="14" borderId="48" xfId="0" applyFont="1" applyFill="1" applyBorder="1" applyAlignment="1">
      <alignment horizontal="center"/>
    </xf>
    <xf numFmtId="0" fontId="23" fillId="14" borderId="48" xfId="0" applyFont="1" applyFill="1" applyBorder="1" applyAlignment="1">
      <alignment horizontal="center" vertical="center"/>
    </xf>
    <xf numFmtId="0" fontId="23" fillId="14" borderId="40" xfId="0" applyFont="1" applyFill="1" applyBorder="1" applyAlignment="1">
      <alignment vertical="center" wrapText="1"/>
    </xf>
    <xf numFmtId="0" fontId="23" fillId="14" borderId="40" xfId="0" applyFont="1" applyFill="1" applyBorder="1" applyAlignment="1">
      <alignment vertical="center"/>
    </xf>
    <xf numFmtId="9" fontId="23" fillId="14" borderId="49" xfId="0" applyNumberFormat="1" applyFont="1" applyFill="1" applyBorder="1" applyAlignment="1">
      <alignment vertical="center"/>
    </xf>
    <xf numFmtId="0" fontId="23" fillId="14" borderId="50" xfId="0" applyFont="1" applyFill="1" applyBorder="1" applyAlignment="1">
      <alignment vertical="center"/>
    </xf>
    <xf numFmtId="0" fontId="23" fillId="14" borderId="44" xfId="0" applyFont="1" applyFill="1" applyBorder="1" applyAlignment="1">
      <alignment vertical="center" wrapText="1"/>
    </xf>
    <xf numFmtId="0" fontId="23" fillId="14" borderId="51" xfId="0" applyFont="1" applyFill="1" applyBorder="1" applyAlignment="1">
      <alignment vertical="center"/>
    </xf>
    <xf numFmtId="0" fontId="23" fillId="14" borderId="49" xfId="0" applyFont="1" applyFill="1" applyBorder="1" applyAlignment="1">
      <alignment wrapText="1"/>
    </xf>
    <xf numFmtId="0" fontId="23" fillId="14" borderId="30" xfId="0" applyFont="1" applyFill="1" applyBorder="1" applyAlignment="1">
      <alignment vertical="center" wrapText="1"/>
    </xf>
    <xf numFmtId="0" fontId="23" fillId="14" borderId="51" xfId="0" applyFont="1" applyFill="1" applyBorder="1" applyAlignment="1">
      <alignment wrapText="1"/>
    </xf>
    <xf numFmtId="0" fontId="23" fillId="14" borderId="49" xfId="0" applyFont="1" applyFill="1" applyBorder="1"/>
    <xf numFmtId="0" fontId="23" fillId="14" borderId="52" xfId="0" applyFont="1" applyFill="1" applyBorder="1"/>
    <xf numFmtId="0" fontId="23" fillId="14" borderId="14" xfId="0" applyFont="1" applyFill="1" applyBorder="1"/>
    <xf numFmtId="0" fontId="23" fillId="14" borderId="54" xfId="0" applyFont="1" applyFill="1" applyBorder="1"/>
    <xf numFmtId="44" fontId="13" fillId="15" borderId="44" xfId="2" applyNumberFormat="1" applyFont="1" applyFill="1" applyBorder="1"/>
    <xf numFmtId="169" fontId="13" fillId="15" borderId="52" xfId="0" applyNumberFormat="1" applyFont="1" applyFill="1" applyBorder="1"/>
    <xf numFmtId="169" fontId="4" fillId="15" borderId="55" xfId="0" applyNumberFormat="1" applyFont="1" applyFill="1" applyBorder="1"/>
    <xf numFmtId="169" fontId="13" fillId="15" borderId="39" xfId="0" applyNumberFormat="1" applyFont="1" applyFill="1" applyBorder="1"/>
    <xf numFmtId="169" fontId="13" fillId="15" borderId="40" xfId="0" applyNumberFormat="1" applyFont="1" applyFill="1" applyBorder="1"/>
    <xf numFmtId="169" fontId="13" fillId="15" borderId="49" xfId="0" applyNumberFormat="1" applyFont="1" applyFill="1" applyBorder="1"/>
    <xf numFmtId="169" fontId="4" fillId="15" borderId="44" xfId="2" applyNumberFormat="1" applyFont="1" applyFill="1" applyBorder="1"/>
    <xf numFmtId="169" fontId="4" fillId="15" borderId="13" xfId="0" applyNumberFormat="1" applyFont="1" applyFill="1" applyBorder="1"/>
    <xf numFmtId="169" fontId="4" fillId="15" borderId="0" xfId="0" applyNumberFormat="1" applyFont="1" applyFill="1" applyBorder="1"/>
    <xf numFmtId="6" fontId="4" fillId="15" borderId="0" xfId="0" applyNumberFormat="1" applyFont="1" applyFill="1" applyBorder="1"/>
    <xf numFmtId="169" fontId="4" fillId="15" borderId="43" xfId="0" applyNumberFormat="1" applyFont="1" applyFill="1" applyBorder="1"/>
    <xf numFmtId="169" fontId="15" fillId="15" borderId="44" xfId="0" applyNumberFormat="1" applyFont="1" applyFill="1" applyBorder="1"/>
    <xf numFmtId="169" fontId="4" fillId="15" borderId="52" xfId="0" applyNumberFormat="1" applyFont="1" applyFill="1" applyBorder="1"/>
    <xf numFmtId="169" fontId="15" fillId="15" borderId="52" xfId="0" applyNumberFormat="1" applyFont="1" applyFill="1" applyBorder="1"/>
    <xf numFmtId="44" fontId="4" fillId="15" borderId="43" xfId="0" applyNumberFormat="1" applyFont="1" applyFill="1" applyBorder="1"/>
    <xf numFmtId="169" fontId="4" fillId="15" borderId="55" xfId="2" applyNumberFormat="1" applyFont="1" applyFill="1" applyBorder="1"/>
    <xf numFmtId="169" fontId="4" fillId="5" borderId="13" xfId="2" applyNumberFormat="1" applyFont="1" applyFill="1" applyBorder="1"/>
    <xf numFmtId="169" fontId="4" fillId="15" borderId="13" xfId="2" applyNumberFormat="1" applyFont="1" applyFill="1" applyBorder="1"/>
    <xf numFmtId="169" fontId="4" fillId="5" borderId="57" xfId="2" applyNumberFormat="1" applyFont="1" applyFill="1" applyBorder="1"/>
    <xf numFmtId="169" fontId="4" fillId="5" borderId="0" xfId="2" applyNumberFormat="1" applyFont="1" applyFill="1" applyBorder="1"/>
    <xf numFmtId="169" fontId="4" fillId="15" borderId="0" xfId="2" applyNumberFormat="1" applyFont="1" applyFill="1" applyBorder="1"/>
    <xf numFmtId="169" fontId="4" fillId="5" borderId="41" xfId="2" applyNumberFormat="1" applyFont="1" applyFill="1" applyBorder="1"/>
    <xf numFmtId="169" fontId="13" fillId="15" borderId="39" xfId="2" applyNumberFormat="1" applyFont="1" applyFill="1" applyBorder="1"/>
    <xf numFmtId="169" fontId="4" fillId="5" borderId="43" xfId="2" applyNumberFormat="1" applyFont="1" applyFill="1" applyBorder="1"/>
    <xf numFmtId="169" fontId="4" fillId="15" borderId="43" xfId="2" applyNumberFormat="1" applyFont="1" applyFill="1" applyBorder="1"/>
    <xf numFmtId="169" fontId="13" fillId="15" borderId="38" xfId="2" applyNumberFormat="1" applyFont="1" applyFill="1" applyBorder="1"/>
    <xf numFmtId="169" fontId="13" fillId="15" borderId="40" xfId="2" applyNumberFormat="1" applyFont="1" applyFill="1" applyBorder="1"/>
    <xf numFmtId="169" fontId="13" fillId="15" borderId="49" xfId="2" applyNumberFormat="1" applyFont="1" applyFill="1" applyBorder="1"/>
    <xf numFmtId="169" fontId="15" fillId="5" borderId="44" xfId="2" applyNumberFormat="1" applyFont="1" applyFill="1" applyBorder="1"/>
    <xf numFmtId="169" fontId="4" fillId="5" borderId="52" xfId="2" applyNumberFormat="1" applyFont="1" applyFill="1" applyBorder="1"/>
    <xf numFmtId="169" fontId="15" fillId="15" borderId="44" xfId="2" applyNumberFormat="1" applyFont="1" applyFill="1" applyBorder="1"/>
    <xf numFmtId="169" fontId="4" fillId="15" borderId="52" xfId="2" applyNumberFormat="1" applyFont="1" applyFill="1" applyBorder="1"/>
    <xf numFmtId="169" fontId="15" fillId="5" borderId="30" xfId="2" applyNumberFormat="1" applyFont="1" applyFill="1" applyBorder="1"/>
    <xf numFmtId="169" fontId="4" fillId="5" borderId="51" xfId="2" applyNumberFormat="1" applyFont="1" applyFill="1" applyBorder="1"/>
    <xf numFmtId="169" fontId="13" fillId="15" borderId="44" xfId="2" applyNumberFormat="1" applyFont="1" applyFill="1" applyBorder="1"/>
    <xf numFmtId="38" fontId="13" fillId="15" borderId="52" xfId="0" applyNumberFormat="1" applyFont="1" applyFill="1" applyBorder="1"/>
    <xf numFmtId="38" fontId="4" fillId="15" borderId="41" xfId="0" applyNumberFormat="1" applyFont="1" applyFill="1" applyBorder="1"/>
    <xf numFmtId="38" fontId="4" fillId="15" borderId="52" xfId="0" applyNumberFormat="1" applyFont="1" applyFill="1" applyBorder="1"/>
    <xf numFmtId="38" fontId="4" fillId="15" borderId="0" xfId="0" applyNumberFormat="1" applyFont="1" applyFill="1" applyBorder="1"/>
    <xf numFmtId="38" fontId="4" fillId="15" borderId="43" xfId="0" applyNumberFormat="1" applyFont="1" applyFill="1" applyBorder="1"/>
    <xf numFmtId="0" fontId="4" fillId="0" borderId="33" xfId="0" applyFont="1" applyFill="1" applyBorder="1"/>
    <xf numFmtId="169" fontId="0" fillId="0" borderId="42" xfId="2" applyNumberFormat="1" applyFont="1" applyBorder="1"/>
    <xf numFmtId="169" fontId="0" fillId="0" borderId="43" xfId="2" applyNumberFormat="1" applyFont="1" applyBorder="1"/>
    <xf numFmtId="2" fontId="0" fillId="0" borderId="42" xfId="2" applyNumberFormat="1" applyFont="1" applyBorder="1"/>
    <xf numFmtId="2" fontId="0" fillId="0" borderId="43" xfId="2" applyNumberFormat="1" applyFont="1" applyBorder="1"/>
    <xf numFmtId="10" fontId="0" fillId="0" borderId="42" xfId="1" applyNumberFormat="1" applyFont="1" applyBorder="1"/>
    <xf numFmtId="10" fontId="0" fillId="0" borderId="43" xfId="1" applyNumberFormat="1" applyFont="1" applyBorder="1"/>
    <xf numFmtId="169" fontId="0" fillId="0" borderId="33" xfId="2" applyNumberFormat="1" applyFont="1" applyBorder="1"/>
    <xf numFmtId="169" fontId="0" fillId="0" borderId="45" xfId="2" applyNumberFormat="1" applyFont="1" applyBorder="1"/>
    <xf numFmtId="2" fontId="0" fillId="0" borderId="42" xfId="0" applyNumberFormat="1" applyBorder="1"/>
    <xf numFmtId="2" fontId="0" fillId="0" borderId="43" xfId="0" applyNumberFormat="1" applyBorder="1"/>
    <xf numFmtId="0" fontId="0" fillId="0" borderId="58" xfId="0" applyBorder="1"/>
    <xf numFmtId="0" fontId="0" fillId="0" borderId="30" xfId="0" applyBorder="1"/>
    <xf numFmtId="169" fontId="0" fillId="0" borderId="38" xfId="2" applyNumberFormat="1" applyFont="1" applyBorder="1"/>
    <xf numFmtId="169" fontId="0" fillId="0" borderId="39" xfId="2" applyNumberFormat="1" applyFont="1" applyBorder="1"/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10" fontId="4" fillId="0" borderId="6" xfId="1" applyNumberFormat="1" applyFont="1" applyBorder="1"/>
    <xf numFmtId="0" fontId="4" fillId="5" borderId="0" xfId="0" applyFont="1" applyFill="1" applyAlignment="1">
      <alignment textRotation="135"/>
    </xf>
    <xf numFmtId="0" fontId="4" fillId="5" borderId="0" xfId="0" applyFont="1" applyFill="1"/>
    <xf numFmtId="0" fontId="4" fillId="16" borderId="0" xfId="0" applyFont="1" applyFill="1" applyAlignment="1">
      <alignment horizontal="center"/>
    </xf>
    <xf numFmtId="0" fontId="4" fillId="16" borderId="0" xfId="0" applyFont="1" applyFill="1"/>
    <xf numFmtId="174" fontId="4" fillId="5" borderId="0" xfId="1" applyNumberFormat="1" applyFont="1" applyFill="1"/>
    <xf numFmtId="2" fontId="4" fillId="5" borderId="0" xfId="0" applyNumberFormat="1" applyFont="1" applyFill="1" applyAlignment="1">
      <alignment horizontal="center"/>
    </xf>
    <xf numFmtId="172" fontId="4" fillId="5" borderId="0" xfId="0" applyNumberFormat="1" applyFont="1" applyFill="1" applyAlignment="1">
      <alignment horizontal="center"/>
    </xf>
    <xf numFmtId="44" fontId="10" fillId="0" borderId="0" xfId="0" applyNumberFormat="1" applyFont="1"/>
    <xf numFmtId="9" fontId="4" fillId="5" borderId="44" xfId="0" applyNumberFormat="1" applyFont="1" applyFill="1" applyBorder="1" applyAlignment="1">
      <alignment horizontal="right"/>
    </xf>
    <xf numFmtId="0" fontId="10" fillId="5" borderId="34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17" fillId="5" borderId="34" xfId="0" applyFont="1" applyFill="1" applyBorder="1" applyAlignment="1">
      <alignment horizontal="center"/>
    </xf>
    <xf numFmtId="0" fontId="17" fillId="5" borderId="58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19" fillId="0" borderId="4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left"/>
    </xf>
    <xf numFmtId="0" fontId="9" fillId="3" borderId="3" xfId="0" applyNumberFormat="1" applyFont="1" applyFill="1" applyBorder="1" applyAlignment="1">
      <alignment horizontal="left"/>
    </xf>
    <xf numFmtId="0" fontId="9" fillId="3" borderId="4" xfId="0" applyNumberFormat="1" applyFont="1" applyFill="1" applyBorder="1" applyAlignment="1">
      <alignment horizontal="left"/>
    </xf>
    <xf numFmtId="0" fontId="6" fillId="0" borderId="1" xfId="0" applyNumberFormat="1" applyFont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8" xfId="0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10" fillId="4" borderId="47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23" fillId="14" borderId="40" xfId="0" applyFont="1" applyFill="1" applyBorder="1" applyAlignment="1">
      <alignment horizontal="center" vertical="center" wrapText="1"/>
    </xf>
    <xf numFmtId="0" fontId="23" fillId="14" borderId="44" xfId="0" applyFont="1" applyFill="1" applyBorder="1" applyAlignment="1">
      <alignment horizontal="center" vertical="center" wrapText="1"/>
    </xf>
    <xf numFmtId="0" fontId="23" fillId="14" borderId="30" xfId="0" applyFont="1" applyFill="1" applyBorder="1" applyAlignment="1">
      <alignment horizontal="center" vertical="center" wrapText="1"/>
    </xf>
    <xf numFmtId="0" fontId="23" fillId="14" borderId="49" xfId="0" applyFont="1" applyFill="1" applyBorder="1" applyAlignment="1">
      <alignment horizontal="center" vertical="center" wrapText="1"/>
    </xf>
    <xf numFmtId="0" fontId="23" fillId="14" borderId="52" xfId="0" applyFont="1" applyFill="1" applyBorder="1" applyAlignment="1">
      <alignment horizontal="center" vertical="center" wrapText="1"/>
    </xf>
    <xf numFmtId="0" fontId="23" fillId="14" borderId="51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23" fillId="14" borderId="47" xfId="0" applyFont="1" applyFill="1" applyBorder="1" applyAlignment="1">
      <alignment horizontal="center"/>
    </xf>
    <xf numFmtId="0" fontId="23" fillId="14" borderId="11" xfId="0" applyFont="1" applyFill="1" applyBorder="1" applyAlignment="1">
      <alignment horizontal="center"/>
    </xf>
    <xf numFmtId="0" fontId="23" fillId="14" borderId="19" xfId="0" applyFont="1" applyFill="1" applyBorder="1" applyAlignment="1">
      <alignment horizontal="center"/>
    </xf>
    <xf numFmtId="0" fontId="23" fillId="14" borderId="48" xfId="0" applyFont="1" applyFill="1" applyBorder="1" applyAlignment="1">
      <alignment horizontal="center" vertical="center"/>
    </xf>
    <xf numFmtId="0" fontId="23" fillId="14" borderId="50" xfId="0" applyFont="1" applyFill="1" applyBorder="1" applyAlignment="1">
      <alignment horizontal="center" vertical="center"/>
    </xf>
    <xf numFmtId="9" fontId="4" fillId="0" borderId="49" xfId="0" applyNumberFormat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23" fillId="14" borderId="48" xfId="0" applyFont="1" applyFill="1" applyBorder="1" applyAlignment="1">
      <alignment horizontal="center"/>
    </xf>
    <xf numFmtId="0" fontId="23" fillId="14" borderId="50" xfId="0" applyFont="1" applyFill="1" applyBorder="1" applyAlignment="1">
      <alignment horizontal="center"/>
    </xf>
    <xf numFmtId="44" fontId="23" fillId="14" borderId="38" xfId="0" applyNumberFormat="1" applyFont="1" applyFill="1" applyBorder="1" applyAlignment="1">
      <alignment horizontal="center" vertical="center"/>
    </xf>
    <xf numFmtId="0" fontId="23" fillId="14" borderId="42" xfId="0" applyFont="1" applyFill="1" applyBorder="1" applyAlignment="1">
      <alignment horizontal="center" vertical="center"/>
    </xf>
    <xf numFmtId="0" fontId="23" fillId="14" borderId="44" xfId="0" applyFont="1" applyFill="1" applyBorder="1" applyAlignment="1">
      <alignment horizontal="center" vertical="center"/>
    </xf>
    <xf numFmtId="0" fontId="23" fillId="14" borderId="30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10" fillId="5" borderId="47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5" borderId="36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48" xfId="0" applyFont="1" applyFill="1" applyBorder="1" applyAlignment="1">
      <alignment horizontal="center"/>
    </xf>
    <xf numFmtId="0" fontId="4" fillId="5" borderId="50" xfId="0" applyFont="1" applyFill="1" applyBorder="1" applyAlignment="1">
      <alignment horizontal="center"/>
    </xf>
    <xf numFmtId="44" fontId="13" fillId="0" borderId="3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23" fillId="14" borderId="49" xfId="0" applyFont="1" applyFill="1" applyBorder="1" applyAlignment="1">
      <alignment horizontal="center" wrapText="1"/>
    </xf>
    <xf numFmtId="0" fontId="23" fillId="14" borderId="51" xfId="0" applyFont="1" applyFill="1" applyBorder="1" applyAlignment="1">
      <alignment horizontal="center" wrapText="1"/>
    </xf>
    <xf numFmtId="0" fontId="23" fillId="14" borderId="49" xfId="0" applyFont="1" applyFill="1" applyBorder="1" applyAlignment="1">
      <alignment horizontal="center" vertical="top" wrapText="1"/>
    </xf>
    <xf numFmtId="0" fontId="23" fillId="14" borderId="51" xfId="0" applyFont="1" applyFill="1" applyBorder="1" applyAlignment="1">
      <alignment horizontal="center" vertical="top" wrapText="1"/>
    </xf>
    <xf numFmtId="0" fontId="23" fillId="14" borderId="40" xfId="0" applyFont="1" applyFill="1" applyBorder="1" applyAlignment="1">
      <alignment horizontal="center"/>
    </xf>
    <xf numFmtId="0" fontId="23" fillId="14" borderId="30" xfId="0" applyFont="1" applyFill="1" applyBorder="1" applyAlignment="1">
      <alignment horizontal="center"/>
    </xf>
    <xf numFmtId="9" fontId="23" fillId="14" borderId="49" xfId="0" applyNumberFormat="1" applyFont="1" applyFill="1" applyBorder="1" applyAlignment="1">
      <alignment horizontal="center"/>
    </xf>
    <xf numFmtId="0" fontId="23" fillId="14" borderId="51" xfId="0" applyFont="1" applyFill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20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9" fontId="4" fillId="0" borderId="49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23" fillId="14" borderId="40" xfId="0" applyFont="1" applyFill="1" applyBorder="1" applyAlignment="1">
      <alignment horizontal="center" vertical="top" wrapText="1"/>
    </xf>
    <xf numFmtId="0" fontId="23" fillId="14" borderId="30" xfId="0" applyFont="1" applyFill="1" applyBorder="1" applyAlignment="1">
      <alignment horizontal="center" vertical="top" wrapText="1"/>
    </xf>
    <xf numFmtId="0" fontId="23" fillId="14" borderId="40" xfId="0" applyFont="1" applyFill="1" applyBorder="1" applyAlignment="1">
      <alignment horizontal="center" vertical="center"/>
    </xf>
    <xf numFmtId="9" fontId="23" fillId="14" borderId="49" xfId="0" applyNumberFormat="1" applyFont="1" applyFill="1" applyBorder="1" applyAlignment="1">
      <alignment horizontal="center" vertical="center"/>
    </xf>
    <xf numFmtId="0" fontId="23" fillId="14" borderId="51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36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0" fillId="5" borderId="0" xfId="0" applyFont="1" applyFill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66"/>
      <color rgb="FF66FFFF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IPC</a:t>
            </a:r>
            <a:r>
              <a:rPr lang="es-MX" baseline="0"/>
              <a:t> EEUU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0.19486111111111112"/>
          <c:w val="0.87119685039370076"/>
          <c:h val="0.72088764946048411"/>
        </c:manualLayout>
      </c:layout>
      <c:scatterChart>
        <c:scatterStyle val="lineMarker"/>
        <c:varyColors val="0"/>
        <c:ser>
          <c:idx val="0"/>
          <c:order val="0"/>
          <c:tx>
            <c:v>variación promedio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[1]IPC!$J$5:$J$156</c:f>
              <c:numCache>
                <c:formatCode>General</c:formatCode>
                <c:ptCount val="1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</c:numCache>
            </c:numRef>
          </c:xVal>
          <c:yVal>
            <c:numRef>
              <c:f>[1]IPC!$K$5:$K$156</c:f>
              <c:numCache>
                <c:formatCode>General</c:formatCode>
                <c:ptCount val="152"/>
                <c:pt idx="0">
                  <c:v>211.143</c:v>
                </c:pt>
                <c:pt idx="1">
                  <c:v>212.19300000000001</c:v>
                </c:pt>
                <c:pt idx="2">
                  <c:v>212.709</c:v>
                </c:pt>
                <c:pt idx="3">
                  <c:v>213.24</c:v>
                </c:pt>
                <c:pt idx="4">
                  <c:v>213.85599999999999</c:v>
                </c:pt>
                <c:pt idx="5">
                  <c:v>215.69300000000001</c:v>
                </c:pt>
                <c:pt idx="6">
                  <c:v>215.351</c:v>
                </c:pt>
                <c:pt idx="7">
                  <c:v>215.834</c:v>
                </c:pt>
                <c:pt idx="8">
                  <c:v>215.96899999999999</c:v>
                </c:pt>
                <c:pt idx="9">
                  <c:v>216.17699999999999</c:v>
                </c:pt>
                <c:pt idx="10">
                  <c:v>216.33</c:v>
                </c:pt>
                <c:pt idx="11">
                  <c:v>215.94900000000001</c:v>
                </c:pt>
                <c:pt idx="12">
                  <c:v>216.68700000000001</c:v>
                </c:pt>
                <c:pt idx="13">
                  <c:v>216.74100000000001</c:v>
                </c:pt>
                <c:pt idx="14">
                  <c:v>217.631</c:v>
                </c:pt>
                <c:pt idx="15">
                  <c:v>218.00899999999999</c:v>
                </c:pt>
                <c:pt idx="16">
                  <c:v>218.178</c:v>
                </c:pt>
                <c:pt idx="17">
                  <c:v>217.965</c:v>
                </c:pt>
                <c:pt idx="18">
                  <c:v>218.011</c:v>
                </c:pt>
                <c:pt idx="19">
                  <c:v>218.31200000000001</c:v>
                </c:pt>
                <c:pt idx="20">
                  <c:v>218.43899999999999</c:v>
                </c:pt>
                <c:pt idx="21">
                  <c:v>218.71100000000001</c:v>
                </c:pt>
                <c:pt idx="22">
                  <c:v>218.803</c:v>
                </c:pt>
                <c:pt idx="23">
                  <c:v>219.179</c:v>
                </c:pt>
                <c:pt idx="24">
                  <c:v>220.22300000000001</c:v>
                </c:pt>
                <c:pt idx="25">
                  <c:v>221.309</c:v>
                </c:pt>
                <c:pt idx="26">
                  <c:v>223.46700000000001</c:v>
                </c:pt>
                <c:pt idx="27">
                  <c:v>224.90600000000001</c:v>
                </c:pt>
                <c:pt idx="28">
                  <c:v>225.964</c:v>
                </c:pt>
                <c:pt idx="29">
                  <c:v>225.72200000000001</c:v>
                </c:pt>
                <c:pt idx="30">
                  <c:v>225.922</c:v>
                </c:pt>
                <c:pt idx="31">
                  <c:v>226.54499999999999</c:v>
                </c:pt>
                <c:pt idx="32">
                  <c:v>226.88900000000001</c:v>
                </c:pt>
                <c:pt idx="33">
                  <c:v>226.42099999999999</c:v>
                </c:pt>
                <c:pt idx="34">
                  <c:v>226.23</c:v>
                </c:pt>
                <c:pt idx="35">
                  <c:v>225.672</c:v>
                </c:pt>
                <c:pt idx="36">
                  <c:v>226.655</c:v>
                </c:pt>
                <c:pt idx="37">
                  <c:v>227.66300000000001</c:v>
                </c:pt>
                <c:pt idx="38">
                  <c:v>229.392</c:v>
                </c:pt>
                <c:pt idx="39">
                  <c:v>230.08500000000001</c:v>
                </c:pt>
                <c:pt idx="40">
                  <c:v>229.815</c:v>
                </c:pt>
                <c:pt idx="41">
                  <c:v>229.47800000000001</c:v>
                </c:pt>
                <c:pt idx="42">
                  <c:v>229.10400000000001</c:v>
                </c:pt>
                <c:pt idx="43">
                  <c:v>230.37899999999999</c:v>
                </c:pt>
                <c:pt idx="44">
                  <c:v>231.40700000000001</c:v>
                </c:pt>
                <c:pt idx="45">
                  <c:v>231.31700000000001</c:v>
                </c:pt>
                <c:pt idx="46">
                  <c:v>230.221</c:v>
                </c:pt>
                <c:pt idx="47">
                  <c:v>229.601</c:v>
                </c:pt>
                <c:pt idx="48">
                  <c:v>230.28</c:v>
                </c:pt>
                <c:pt idx="49">
                  <c:v>232.166</c:v>
                </c:pt>
                <c:pt idx="50">
                  <c:v>232.773</c:v>
                </c:pt>
                <c:pt idx="51">
                  <c:v>232.53100000000001</c:v>
                </c:pt>
                <c:pt idx="52">
                  <c:v>232.94499999999999</c:v>
                </c:pt>
                <c:pt idx="53">
                  <c:v>233.50399999999999</c:v>
                </c:pt>
                <c:pt idx="54">
                  <c:v>233.596</c:v>
                </c:pt>
                <c:pt idx="55">
                  <c:v>233.87700000000001</c:v>
                </c:pt>
                <c:pt idx="56">
                  <c:v>234.149</c:v>
                </c:pt>
                <c:pt idx="57">
                  <c:v>233.54599999999999</c:v>
                </c:pt>
                <c:pt idx="58">
                  <c:v>233.06899999999999</c:v>
                </c:pt>
                <c:pt idx="59">
                  <c:v>233.04900000000001</c:v>
                </c:pt>
                <c:pt idx="60">
                  <c:v>233.916</c:v>
                </c:pt>
                <c:pt idx="61">
                  <c:v>234.78100000000001</c:v>
                </c:pt>
                <c:pt idx="62">
                  <c:v>236.29300000000001</c:v>
                </c:pt>
                <c:pt idx="63">
                  <c:v>237.072</c:v>
                </c:pt>
                <c:pt idx="64">
                  <c:v>237.9</c:v>
                </c:pt>
                <c:pt idx="65">
                  <c:v>238.34299999999999</c:v>
                </c:pt>
                <c:pt idx="66">
                  <c:v>238.25</c:v>
                </c:pt>
                <c:pt idx="67">
                  <c:v>237.852</c:v>
                </c:pt>
                <c:pt idx="68">
                  <c:v>238.03100000000001</c:v>
                </c:pt>
                <c:pt idx="69">
                  <c:v>237.43299999999999</c:v>
                </c:pt>
                <c:pt idx="70">
                  <c:v>236.15100000000001</c:v>
                </c:pt>
                <c:pt idx="71">
                  <c:v>234.81200000000001</c:v>
                </c:pt>
                <c:pt idx="72">
                  <c:v>233.70699999999999</c:v>
                </c:pt>
                <c:pt idx="73">
                  <c:v>234.72200000000001</c:v>
                </c:pt>
                <c:pt idx="74">
                  <c:v>236.119</c:v>
                </c:pt>
                <c:pt idx="75">
                  <c:v>236.59899999999999</c:v>
                </c:pt>
                <c:pt idx="76">
                  <c:v>237.80500000000001</c:v>
                </c:pt>
                <c:pt idx="77">
                  <c:v>238.63800000000001</c:v>
                </c:pt>
                <c:pt idx="78">
                  <c:v>238.654</c:v>
                </c:pt>
                <c:pt idx="79">
                  <c:v>238.316</c:v>
                </c:pt>
                <c:pt idx="80">
                  <c:v>237.94499999999999</c:v>
                </c:pt>
                <c:pt idx="81">
                  <c:v>237.83799999999999</c:v>
                </c:pt>
                <c:pt idx="82">
                  <c:v>237.33600000000001</c:v>
                </c:pt>
                <c:pt idx="83">
                  <c:v>236.52500000000001</c:v>
                </c:pt>
                <c:pt idx="84">
                  <c:v>236.916</c:v>
                </c:pt>
                <c:pt idx="85">
                  <c:v>237.11099999999999</c:v>
                </c:pt>
                <c:pt idx="86">
                  <c:v>238.13200000000001</c:v>
                </c:pt>
                <c:pt idx="87">
                  <c:v>239.261</c:v>
                </c:pt>
                <c:pt idx="88">
                  <c:v>240.23599999999999</c:v>
                </c:pt>
                <c:pt idx="89">
                  <c:v>241.03800000000001</c:v>
                </c:pt>
                <c:pt idx="90">
                  <c:v>240.64699999999999</c:v>
                </c:pt>
                <c:pt idx="91">
                  <c:v>240.85300000000001</c:v>
                </c:pt>
                <c:pt idx="92">
                  <c:v>241.428</c:v>
                </c:pt>
                <c:pt idx="93">
                  <c:v>241.72900000000001</c:v>
                </c:pt>
                <c:pt idx="94">
                  <c:v>241.35300000000001</c:v>
                </c:pt>
                <c:pt idx="95">
                  <c:v>241.43199999999999</c:v>
                </c:pt>
                <c:pt idx="96">
                  <c:v>242.839</c:v>
                </c:pt>
                <c:pt idx="97">
                  <c:v>243.60300000000001</c:v>
                </c:pt>
                <c:pt idx="98">
                  <c:v>243.80099999999999</c:v>
                </c:pt>
                <c:pt idx="99">
                  <c:v>244.524</c:v>
                </c:pt>
                <c:pt idx="100">
                  <c:v>244.733</c:v>
                </c:pt>
                <c:pt idx="101">
                  <c:v>244.95500000000001</c:v>
                </c:pt>
                <c:pt idx="102">
                  <c:v>244.786</c:v>
                </c:pt>
                <c:pt idx="103">
                  <c:v>245.51900000000001</c:v>
                </c:pt>
                <c:pt idx="104">
                  <c:v>246.81899999999999</c:v>
                </c:pt>
                <c:pt idx="105">
                  <c:v>246.66300000000001</c:v>
                </c:pt>
                <c:pt idx="106">
                  <c:v>246.66900000000001</c:v>
                </c:pt>
                <c:pt idx="107">
                  <c:v>246.524</c:v>
                </c:pt>
                <c:pt idx="108">
                  <c:v>247.86699999999999</c:v>
                </c:pt>
                <c:pt idx="109">
                  <c:v>248.99100000000001</c:v>
                </c:pt>
                <c:pt idx="110">
                  <c:v>249.554</c:v>
                </c:pt>
                <c:pt idx="111">
                  <c:v>250.54599999999999</c:v>
                </c:pt>
                <c:pt idx="112">
                  <c:v>251.58799999999999</c:v>
                </c:pt>
                <c:pt idx="113">
                  <c:v>251.989</c:v>
                </c:pt>
                <c:pt idx="114">
                  <c:v>252.006</c:v>
                </c:pt>
                <c:pt idx="115">
                  <c:v>252.39849462079403</c:v>
                </c:pt>
                <c:pt idx="116">
                  <c:v>252.79160054460206</c:v>
                </c:pt>
                <c:pt idx="117">
                  <c:v>253.18531872351713</c:v>
                </c:pt>
                <c:pt idx="118">
                  <c:v>253.57965011111506</c:v>
                </c:pt>
                <c:pt idx="119">
                  <c:v>253.97459566245686</c:v>
                </c:pt>
                <c:pt idx="120">
                  <c:v>254.37015633409106</c:v>
                </c:pt>
                <c:pt idx="121">
                  <c:v>254.76633308405601</c:v>
                </c:pt>
                <c:pt idx="122">
                  <c:v>255.16312687188213</c:v>
                </c:pt>
                <c:pt idx="123">
                  <c:v>255.56053865859434</c:v>
                </c:pt>
                <c:pt idx="124">
                  <c:v>255.9585694067143</c:v>
                </c:pt>
                <c:pt idx="125">
                  <c:v>256.35722008026283</c:v>
                </c:pt>
                <c:pt idx="126">
                  <c:v>256.75649164476215</c:v>
                </c:pt>
                <c:pt idx="127">
                  <c:v>257.15638506723826</c:v>
                </c:pt>
                <c:pt idx="128">
                  <c:v>257.55690131622333</c:v>
                </c:pt>
                <c:pt idx="129">
                  <c:v>257.95804136175792</c:v>
                </c:pt>
                <c:pt idx="130">
                  <c:v>258.35980617539354</c:v>
                </c:pt>
                <c:pt idx="131">
                  <c:v>258.76219673019472</c:v>
                </c:pt>
                <c:pt idx="132">
                  <c:v>259.16521400074163</c:v>
                </c:pt>
                <c:pt idx="133">
                  <c:v>259.5688589631323</c:v>
                </c:pt>
                <c:pt idx="134">
                  <c:v>259.97313259498497</c:v>
                </c:pt>
                <c:pt idx="135">
                  <c:v>260.37803587544062</c:v>
                </c:pt>
                <c:pt idx="136">
                  <c:v>260.78356978516507</c:v>
                </c:pt>
                <c:pt idx="137">
                  <c:v>261.18973530635162</c:v>
                </c:pt>
                <c:pt idx="138">
                  <c:v>261.59653342272327</c:v>
                </c:pt>
                <c:pt idx="139">
                  <c:v>262.00396511953517</c:v>
                </c:pt>
                <c:pt idx="140">
                  <c:v>262.41203138357696</c:v>
                </c:pt>
                <c:pt idx="141">
                  <c:v>262.82073320317522</c:v>
                </c:pt>
                <c:pt idx="142">
                  <c:v>263.23007156819585</c:v>
                </c:pt>
                <c:pt idx="143">
                  <c:v>263.6400474700464</c:v>
                </c:pt>
                <c:pt idx="144">
                  <c:v>264.0506619016785</c:v>
                </c:pt>
                <c:pt idx="145">
                  <c:v>264.46191585759033</c:v>
                </c:pt>
                <c:pt idx="146">
                  <c:v>264.87381033382894</c:v>
                </c:pt>
                <c:pt idx="147">
                  <c:v>265.28634632799276</c:v>
                </c:pt>
                <c:pt idx="148">
                  <c:v>265.6995248392339</c:v>
                </c:pt>
                <c:pt idx="149">
                  <c:v>266.11334686826069</c:v>
                </c:pt>
                <c:pt idx="150">
                  <c:v>266.52781341734004</c:v>
                </c:pt>
                <c:pt idx="151">
                  <c:v>266.94292549029979</c:v>
                </c:pt>
              </c:numCache>
            </c:numRef>
          </c:yVal>
          <c:smooth val="0"/>
        </c:ser>
        <c:ser>
          <c:idx val="1"/>
          <c:order val="1"/>
          <c:tx>
            <c:v>regresion lineal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[1]IPC!$J$5:$J$156</c:f>
              <c:numCache>
                <c:formatCode>General</c:formatCode>
                <c:ptCount val="1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</c:numCache>
            </c:numRef>
          </c:xVal>
          <c:yVal>
            <c:numRef>
              <c:f>[1]IPC!$M$5:$M$156</c:f>
              <c:numCache>
                <c:formatCode>General</c:formatCode>
                <c:ptCount val="152"/>
                <c:pt idx="0">
                  <c:v>211.143</c:v>
                </c:pt>
                <c:pt idx="1">
                  <c:v>212.19300000000001</c:v>
                </c:pt>
                <c:pt idx="2">
                  <c:v>212.709</c:v>
                </c:pt>
                <c:pt idx="3">
                  <c:v>213.24</c:v>
                </c:pt>
                <c:pt idx="4">
                  <c:v>213.85599999999999</c:v>
                </c:pt>
                <c:pt idx="5">
                  <c:v>215.69300000000001</c:v>
                </c:pt>
                <c:pt idx="6">
                  <c:v>215.351</c:v>
                </c:pt>
                <c:pt idx="7">
                  <c:v>215.834</c:v>
                </c:pt>
                <c:pt idx="8">
                  <c:v>215.96899999999999</c:v>
                </c:pt>
                <c:pt idx="9">
                  <c:v>216.17699999999999</c:v>
                </c:pt>
                <c:pt idx="10">
                  <c:v>216.33</c:v>
                </c:pt>
                <c:pt idx="11">
                  <c:v>215.94900000000001</c:v>
                </c:pt>
                <c:pt idx="12">
                  <c:v>216.68700000000001</c:v>
                </c:pt>
                <c:pt idx="13">
                  <c:v>216.74100000000001</c:v>
                </c:pt>
                <c:pt idx="14">
                  <c:v>217.631</c:v>
                </c:pt>
                <c:pt idx="15">
                  <c:v>218.00899999999999</c:v>
                </c:pt>
                <c:pt idx="16">
                  <c:v>218.178</c:v>
                </c:pt>
                <c:pt idx="17">
                  <c:v>217.965</c:v>
                </c:pt>
                <c:pt idx="18">
                  <c:v>218.011</c:v>
                </c:pt>
                <c:pt idx="19">
                  <c:v>218.31200000000001</c:v>
                </c:pt>
                <c:pt idx="20">
                  <c:v>218.43899999999999</c:v>
                </c:pt>
                <c:pt idx="21">
                  <c:v>218.71100000000001</c:v>
                </c:pt>
                <c:pt idx="22">
                  <c:v>218.803</c:v>
                </c:pt>
                <c:pt idx="23">
                  <c:v>219.179</c:v>
                </c:pt>
                <c:pt idx="24">
                  <c:v>220.22300000000001</c:v>
                </c:pt>
                <c:pt idx="25">
                  <c:v>221.309</c:v>
                </c:pt>
                <c:pt idx="26">
                  <c:v>223.46700000000001</c:v>
                </c:pt>
                <c:pt idx="27">
                  <c:v>224.90600000000001</c:v>
                </c:pt>
                <c:pt idx="28">
                  <c:v>225.964</c:v>
                </c:pt>
                <c:pt idx="29">
                  <c:v>225.72200000000001</c:v>
                </c:pt>
                <c:pt idx="30">
                  <c:v>225.922</c:v>
                </c:pt>
                <c:pt idx="31">
                  <c:v>226.54499999999999</c:v>
                </c:pt>
                <c:pt idx="32">
                  <c:v>226.88900000000001</c:v>
                </c:pt>
                <c:pt idx="33">
                  <c:v>226.42099999999999</c:v>
                </c:pt>
                <c:pt idx="34">
                  <c:v>226.23</c:v>
                </c:pt>
                <c:pt idx="35">
                  <c:v>225.672</c:v>
                </c:pt>
                <c:pt idx="36">
                  <c:v>226.655</c:v>
                </c:pt>
                <c:pt idx="37">
                  <c:v>227.66300000000001</c:v>
                </c:pt>
                <c:pt idx="38">
                  <c:v>229.392</c:v>
                </c:pt>
                <c:pt idx="39">
                  <c:v>230.08500000000001</c:v>
                </c:pt>
                <c:pt idx="40">
                  <c:v>229.815</c:v>
                </c:pt>
                <c:pt idx="41">
                  <c:v>229.47800000000001</c:v>
                </c:pt>
                <c:pt idx="42">
                  <c:v>229.10400000000001</c:v>
                </c:pt>
                <c:pt idx="43">
                  <c:v>230.37899999999999</c:v>
                </c:pt>
                <c:pt idx="44">
                  <c:v>231.40700000000001</c:v>
                </c:pt>
                <c:pt idx="45">
                  <c:v>231.31700000000001</c:v>
                </c:pt>
                <c:pt idx="46">
                  <c:v>230.221</c:v>
                </c:pt>
                <c:pt idx="47">
                  <c:v>229.601</c:v>
                </c:pt>
                <c:pt idx="48">
                  <c:v>230.28</c:v>
                </c:pt>
                <c:pt idx="49">
                  <c:v>232.166</c:v>
                </c:pt>
                <c:pt idx="50">
                  <c:v>232.773</c:v>
                </c:pt>
                <c:pt idx="51">
                  <c:v>232.53100000000001</c:v>
                </c:pt>
                <c:pt idx="52">
                  <c:v>232.94499999999999</c:v>
                </c:pt>
                <c:pt idx="53">
                  <c:v>233.50399999999999</c:v>
                </c:pt>
                <c:pt idx="54">
                  <c:v>233.596</c:v>
                </c:pt>
                <c:pt idx="55">
                  <c:v>233.87700000000001</c:v>
                </c:pt>
                <c:pt idx="56">
                  <c:v>234.149</c:v>
                </c:pt>
                <c:pt idx="57">
                  <c:v>233.54599999999999</c:v>
                </c:pt>
                <c:pt idx="58">
                  <c:v>233.06899999999999</c:v>
                </c:pt>
                <c:pt idx="59">
                  <c:v>233.04900000000001</c:v>
                </c:pt>
                <c:pt idx="60">
                  <c:v>233.916</c:v>
                </c:pt>
                <c:pt idx="61">
                  <c:v>234.78100000000001</c:v>
                </c:pt>
                <c:pt idx="62">
                  <c:v>236.29300000000001</c:v>
                </c:pt>
                <c:pt idx="63">
                  <c:v>237.072</c:v>
                </c:pt>
                <c:pt idx="64">
                  <c:v>237.9</c:v>
                </c:pt>
                <c:pt idx="65">
                  <c:v>238.34299999999999</c:v>
                </c:pt>
                <c:pt idx="66">
                  <c:v>238.25</c:v>
                </c:pt>
                <c:pt idx="67">
                  <c:v>237.852</c:v>
                </c:pt>
                <c:pt idx="68">
                  <c:v>238.03100000000001</c:v>
                </c:pt>
                <c:pt idx="69">
                  <c:v>237.43299999999999</c:v>
                </c:pt>
                <c:pt idx="70">
                  <c:v>236.15100000000001</c:v>
                </c:pt>
                <c:pt idx="71">
                  <c:v>234.81200000000001</c:v>
                </c:pt>
                <c:pt idx="72">
                  <c:v>233.70699999999999</c:v>
                </c:pt>
                <c:pt idx="73">
                  <c:v>234.72200000000001</c:v>
                </c:pt>
                <c:pt idx="74">
                  <c:v>236.119</c:v>
                </c:pt>
                <c:pt idx="75">
                  <c:v>236.59899999999999</c:v>
                </c:pt>
                <c:pt idx="76">
                  <c:v>237.80500000000001</c:v>
                </c:pt>
                <c:pt idx="77">
                  <c:v>238.63800000000001</c:v>
                </c:pt>
                <c:pt idx="78">
                  <c:v>238.654</c:v>
                </c:pt>
                <c:pt idx="79">
                  <c:v>238.316</c:v>
                </c:pt>
                <c:pt idx="80">
                  <c:v>237.94499999999999</c:v>
                </c:pt>
                <c:pt idx="81">
                  <c:v>237.83799999999999</c:v>
                </c:pt>
                <c:pt idx="82">
                  <c:v>237.33600000000001</c:v>
                </c:pt>
                <c:pt idx="83">
                  <c:v>236.52500000000001</c:v>
                </c:pt>
                <c:pt idx="84">
                  <c:v>236.916</c:v>
                </c:pt>
                <c:pt idx="85">
                  <c:v>237.11099999999999</c:v>
                </c:pt>
                <c:pt idx="86">
                  <c:v>238.13200000000001</c:v>
                </c:pt>
                <c:pt idx="87">
                  <c:v>239.261</c:v>
                </c:pt>
                <c:pt idx="88">
                  <c:v>240.23599999999999</c:v>
                </c:pt>
                <c:pt idx="89">
                  <c:v>241.03800000000001</c:v>
                </c:pt>
                <c:pt idx="90">
                  <c:v>240.64699999999999</c:v>
                </c:pt>
                <c:pt idx="91">
                  <c:v>240.85300000000001</c:v>
                </c:pt>
                <c:pt idx="92">
                  <c:v>241.428</c:v>
                </c:pt>
                <c:pt idx="93">
                  <c:v>241.72900000000001</c:v>
                </c:pt>
                <c:pt idx="94">
                  <c:v>241.35300000000001</c:v>
                </c:pt>
                <c:pt idx="95">
                  <c:v>241.43199999999999</c:v>
                </c:pt>
                <c:pt idx="96">
                  <c:v>242.839</c:v>
                </c:pt>
                <c:pt idx="97">
                  <c:v>243.60300000000001</c:v>
                </c:pt>
                <c:pt idx="98">
                  <c:v>243.80099999999999</c:v>
                </c:pt>
                <c:pt idx="99">
                  <c:v>244.524</c:v>
                </c:pt>
                <c:pt idx="100">
                  <c:v>244.733</c:v>
                </c:pt>
                <c:pt idx="101">
                  <c:v>244.95500000000001</c:v>
                </c:pt>
                <c:pt idx="102">
                  <c:v>244.786</c:v>
                </c:pt>
                <c:pt idx="103">
                  <c:v>245.51900000000001</c:v>
                </c:pt>
                <c:pt idx="104">
                  <c:v>246.81899999999999</c:v>
                </c:pt>
                <c:pt idx="105">
                  <c:v>246.66300000000001</c:v>
                </c:pt>
                <c:pt idx="106">
                  <c:v>246.66900000000001</c:v>
                </c:pt>
                <c:pt idx="107">
                  <c:v>246.524</c:v>
                </c:pt>
                <c:pt idx="108">
                  <c:v>247.86699999999999</c:v>
                </c:pt>
                <c:pt idx="109">
                  <c:v>248.99100000000001</c:v>
                </c:pt>
                <c:pt idx="110">
                  <c:v>249.554</c:v>
                </c:pt>
                <c:pt idx="111">
                  <c:v>250.54599999999999</c:v>
                </c:pt>
                <c:pt idx="112">
                  <c:v>251.58799999999999</c:v>
                </c:pt>
                <c:pt idx="113">
                  <c:v>251.989</c:v>
                </c:pt>
                <c:pt idx="114">
                  <c:v>252.006</c:v>
                </c:pt>
                <c:pt idx="115">
                  <c:v>250.18799999999999</c:v>
                </c:pt>
                <c:pt idx="116">
                  <c:v>250.49849999999998</c:v>
                </c:pt>
                <c:pt idx="117">
                  <c:v>250.809</c:v>
                </c:pt>
                <c:pt idx="118">
                  <c:v>251.11949999999999</c:v>
                </c:pt>
                <c:pt idx="119">
                  <c:v>251.42999999999998</c:v>
                </c:pt>
                <c:pt idx="120">
                  <c:v>251.7405</c:v>
                </c:pt>
                <c:pt idx="121">
                  <c:v>252.05099999999999</c:v>
                </c:pt>
                <c:pt idx="122">
                  <c:v>252.36149999999998</c:v>
                </c:pt>
                <c:pt idx="123">
                  <c:v>252.672</c:v>
                </c:pt>
                <c:pt idx="124">
                  <c:v>252.98249999999999</c:v>
                </c:pt>
                <c:pt idx="125">
                  <c:v>253.29299999999998</c:v>
                </c:pt>
                <c:pt idx="126">
                  <c:v>253.6035</c:v>
                </c:pt>
                <c:pt idx="127">
                  <c:v>253.91399999999999</c:v>
                </c:pt>
                <c:pt idx="128">
                  <c:v>254.22449999999998</c:v>
                </c:pt>
                <c:pt idx="129">
                  <c:v>254.535</c:v>
                </c:pt>
                <c:pt idx="130">
                  <c:v>254.84549999999999</c:v>
                </c:pt>
                <c:pt idx="131">
                  <c:v>255.15599999999998</c:v>
                </c:pt>
                <c:pt idx="132">
                  <c:v>255.4665</c:v>
                </c:pt>
                <c:pt idx="133">
                  <c:v>255.77699999999999</c:v>
                </c:pt>
                <c:pt idx="134">
                  <c:v>256.08749999999998</c:v>
                </c:pt>
                <c:pt idx="135">
                  <c:v>256.39799999999997</c:v>
                </c:pt>
                <c:pt idx="136">
                  <c:v>256.70849999999996</c:v>
                </c:pt>
                <c:pt idx="137">
                  <c:v>257.01900000000001</c:v>
                </c:pt>
                <c:pt idx="138">
                  <c:v>257.3295</c:v>
                </c:pt>
                <c:pt idx="139">
                  <c:v>257.64</c:v>
                </c:pt>
                <c:pt idx="140">
                  <c:v>257.95049999999998</c:v>
                </c:pt>
                <c:pt idx="141">
                  <c:v>258.26099999999997</c:v>
                </c:pt>
                <c:pt idx="142">
                  <c:v>258.57150000000001</c:v>
                </c:pt>
                <c:pt idx="143">
                  <c:v>258.88200000000001</c:v>
                </c:pt>
                <c:pt idx="144">
                  <c:v>259.1925</c:v>
                </c:pt>
                <c:pt idx="145">
                  <c:v>259.50299999999999</c:v>
                </c:pt>
                <c:pt idx="146">
                  <c:v>259.81349999999998</c:v>
                </c:pt>
                <c:pt idx="147">
                  <c:v>260.12399999999997</c:v>
                </c:pt>
                <c:pt idx="148">
                  <c:v>260.43449999999996</c:v>
                </c:pt>
                <c:pt idx="149">
                  <c:v>260.745</c:v>
                </c:pt>
                <c:pt idx="150">
                  <c:v>261.05549999999999</c:v>
                </c:pt>
                <c:pt idx="151">
                  <c:v>261.36599999999999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448848"/>
        <c:axId val="671806656"/>
      </c:scatterChart>
      <c:valAx>
        <c:axId val="53744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06656"/>
        <c:crosses val="autoZero"/>
        <c:crossBetween val="midCat"/>
      </c:valAx>
      <c:valAx>
        <c:axId val="671806656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7448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Comparación!$B$8</c:f>
              <c:strCache>
                <c:ptCount val="1"/>
                <c:pt idx="0">
                  <c:v>TIRM [%]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7777777777777523E-3"/>
                  <c:y val="-6.8055555555555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77777777777779E-3"/>
                  <c:y val="-2.1759259259259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7777777777777779E-3"/>
                  <c:y val="-2.17592592592592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Comparación!$C$8:$E$8</c:f>
              <c:numCache>
                <c:formatCode>0.00%</c:formatCode>
                <c:ptCount val="3"/>
                <c:pt idx="0">
                  <c:v>0.19168167822219795</c:v>
                </c:pt>
                <c:pt idx="1">
                  <c:v>0.188828846465811</c:v>
                </c:pt>
                <c:pt idx="2">
                  <c:v>0.19168167822219795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3875664"/>
        <c:axId val="673881648"/>
      </c:barChart>
      <c:catAx>
        <c:axId val="67387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81648"/>
        <c:crosses val="autoZero"/>
        <c:auto val="1"/>
        <c:lblAlgn val="ctr"/>
        <c:lblOffset val="100"/>
        <c:noMultiLvlLbl val="0"/>
      </c:catAx>
      <c:valAx>
        <c:axId val="673881648"/>
        <c:scaling>
          <c:orientation val="minMax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Comparación!$B$9</c:f>
              <c:strCache>
                <c:ptCount val="1"/>
                <c:pt idx="0">
                  <c:v>PR simple [Años]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2.4537037037037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185067526415994E-16"/>
                  <c:y val="-6.8055555555555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77777777777779E-3"/>
                  <c:y val="-6.8055555555555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Comparación!$C$9:$E$9</c:f>
              <c:numCache>
                <c:formatCode>0.00</c:formatCode>
                <c:ptCount val="3"/>
                <c:pt idx="0">
                  <c:v>2.622487105192969</c:v>
                </c:pt>
                <c:pt idx="1">
                  <c:v>2.7346613226375207</c:v>
                </c:pt>
                <c:pt idx="2">
                  <c:v>2.7631686691964985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3876752"/>
        <c:axId val="673880016"/>
      </c:barChart>
      <c:catAx>
        <c:axId val="6738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80016"/>
        <c:crosses val="autoZero"/>
        <c:auto val="1"/>
        <c:lblAlgn val="ctr"/>
        <c:lblOffset val="100"/>
        <c:noMultiLvlLbl val="0"/>
      </c:catAx>
      <c:valAx>
        <c:axId val="673880016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Comparación!$B$3</c:f>
              <c:strCache>
                <c:ptCount val="1"/>
                <c:pt idx="0">
                  <c:v>VP (2018) [USD]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4.2383384670574183E-3"/>
                  <c:y val="6.3814793265663354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94269466316712"/>
                      <c:h val="8.5035360163312909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3799212598425198E-3"/>
                  <c:y val="1.4138597258675999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84951881014873"/>
                      <c:h val="9.4294619422572168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8.3781714785652814E-3"/>
                  <c:y val="-9.9349300087489059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88888888888888"/>
                      <c:h val="8.0405730533683273E-2"/>
                    </c:manualLayout>
                  </c15:layout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Comparación!$C$3:$E$3</c:f>
              <c:numCache>
                <c:formatCode>"$"#,##0_);[Red]\("$"#,##0\)</c:formatCode>
                <c:ptCount val="3"/>
                <c:pt idx="0">
                  <c:v>531417763.29455149</c:v>
                </c:pt>
                <c:pt idx="1">
                  <c:v>555564598.14417124</c:v>
                </c:pt>
                <c:pt idx="2">
                  <c:v>432911501.67248261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3873488"/>
        <c:axId val="673874032"/>
      </c:barChart>
      <c:catAx>
        <c:axId val="6738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4032"/>
        <c:crosses val="autoZero"/>
        <c:auto val="1"/>
        <c:lblAlgn val="ctr"/>
        <c:lblOffset val="100"/>
        <c:noMultiLvlLbl val="0"/>
      </c:catAx>
      <c:valAx>
        <c:axId val="673874032"/>
        <c:scaling>
          <c:orientation val="minMax"/>
          <c:min val="0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Comparación!$B$10</c:f>
              <c:strCache>
                <c:ptCount val="1"/>
                <c:pt idx="0">
                  <c:v>Acumulado [USD]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12925627359656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2585125471931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12925627359656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Comparación!$C$10:$E$10</c:f>
              <c:numCache>
                <c:formatCode>_-"$"* #,##0_-;\-"$"* #,##0_-;_-"$"* "-"??_-;_-@_-</c:formatCode>
                <c:ptCount val="3"/>
                <c:pt idx="0">
                  <c:v>1123831260.2421062</c:v>
                </c:pt>
                <c:pt idx="1">
                  <c:v>1168077541.8579221</c:v>
                </c:pt>
                <c:pt idx="2">
                  <c:v>931972796.49108553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3876208"/>
        <c:axId val="673882192"/>
      </c:barChart>
      <c:catAx>
        <c:axId val="6738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82192"/>
        <c:crosses val="autoZero"/>
        <c:auto val="1"/>
        <c:lblAlgn val="ctr"/>
        <c:lblOffset val="100"/>
        <c:noMultiLvlLbl val="0"/>
      </c:catAx>
      <c:valAx>
        <c:axId val="673882192"/>
        <c:scaling>
          <c:orientation val="minMax"/>
        </c:scaling>
        <c:delete val="0"/>
        <c:axPos val="l"/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/>
              <a:t>VP (2018)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Comparación!$W$16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Comparación!$V$17:$V$19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Comparación!$W$17:$W$19</c:f>
              <c:numCache>
                <c:formatCode>_-"$"* #,##0_-;\-"$"* #,##0_-;_-"$"* "-"??_-;_-@_-</c:formatCode>
                <c:ptCount val="3"/>
                <c:pt idx="0">
                  <c:v>419486596.71711534</c:v>
                </c:pt>
                <c:pt idx="1">
                  <c:v>433680991.26951981</c:v>
                </c:pt>
                <c:pt idx="2">
                  <c:v>341728457.45773256</c:v>
                </c:pt>
              </c:numCache>
            </c:numRef>
          </c:val>
        </c:ser>
        <c:ser>
          <c:idx val="1"/>
          <c:order val="1"/>
          <c:tx>
            <c:strRef>
              <c:f>Comparación!$X$16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Comparación!$V$17:$V$19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Comparación!$X$17:$X$19</c:f>
              <c:numCache>
                <c:formatCode>_-"$"* #,##0_-;\-"$"* #,##0_-;_-"$"* "-"??_-;_-@_-</c:formatCode>
                <c:ptCount val="3"/>
                <c:pt idx="0">
                  <c:v>392147640.4801231</c:v>
                </c:pt>
                <c:pt idx="1">
                  <c:v>403911172.04720712</c:v>
                </c:pt>
                <c:pt idx="2">
                  <c:v>319457187.25151902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3883824"/>
        <c:axId val="673870768"/>
      </c:barChart>
      <c:catAx>
        <c:axId val="67388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0768"/>
        <c:crosses val="autoZero"/>
        <c:auto val="1"/>
        <c:lblAlgn val="ctr"/>
        <c:lblOffset val="100"/>
        <c:noMultiLvlLbl val="0"/>
      </c:catAx>
      <c:valAx>
        <c:axId val="673870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83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 b="1"/>
              <a:t>VPN (2018) [USD]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Comparación!$W$20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Comparación!$V$21:$V$23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Comparación!$W$21:$W$23</c:f>
              <c:numCache>
                <c:formatCode>_-"$"* #,##0_-;\-"$"* #,##0_-;_-"$"* "-"??_-;_-@_-</c:formatCode>
                <c:ptCount val="3"/>
                <c:pt idx="0">
                  <c:v>395145297.92983544</c:v>
                </c:pt>
                <c:pt idx="1">
                  <c:v>407175368.36819178</c:v>
                </c:pt>
                <c:pt idx="2">
                  <c:v>321899183.88333911</c:v>
                </c:pt>
              </c:numCache>
            </c:numRef>
          </c:val>
        </c:ser>
        <c:ser>
          <c:idx val="1"/>
          <c:order val="1"/>
          <c:tx>
            <c:strRef>
              <c:f>Comparación!$X$20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Comparación!$V$21:$V$23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Comparación!$X$21:$X$23</c:f>
              <c:numCache>
                <c:formatCode>_-"$"* #,##0_-;\-"$"* #,##0_-;_-"$"* "-"??_-;_-@_-</c:formatCode>
                <c:ptCount val="3"/>
                <c:pt idx="0">
                  <c:v>367806341.6928432</c:v>
                </c:pt>
                <c:pt idx="1">
                  <c:v>377405549.14587909</c:v>
                </c:pt>
                <c:pt idx="2">
                  <c:v>299627913.67712557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3874576"/>
        <c:axId val="674138944"/>
      </c:barChart>
      <c:catAx>
        <c:axId val="6738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8944"/>
        <c:crosses val="autoZero"/>
        <c:auto val="1"/>
        <c:lblAlgn val="ctr"/>
        <c:lblOffset val="100"/>
        <c:noMultiLvlLbl val="0"/>
      </c:catAx>
      <c:valAx>
        <c:axId val="674138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45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/>
              <a:t>AE [USD]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Comparación!$W$24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Comparación!$V$25:$V$27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Comparación!$W$25:$W$27</c:f>
              <c:numCache>
                <c:formatCode>_-"$"* #,##0_-;\-"$"* #,##0_-;_-"$"* "-"??_-;_-@_-</c:formatCode>
                <c:ptCount val="3"/>
                <c:pt idx="0">
                  <c:v>55500815.43705947</c:v>
                </c:pt>
                <c:pt idx="1">
                  <c:v>57190519.762511417</c:v>
                </c:pt>
                <c:pt idx="2">
                  <c:v>45212905.955473661</c:v>
                </c:pt>
              </c:numCache>
            </c:numRef>
          </c:val>
        </c:ser>
        <c:ser>
          <c:idx val="1"/>
          <c:order val="1"/>
          <c:tx>
            <c:strRef>
              <c:f>Comparación!$X$24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Comparación!$V$25:$V$27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Comparación!$X$25:$X$27</c:f>
              <c:numCache>
                <c:formatCode>_-"$"* #,##0_-;\-"$"* #,##0_-;_-"$"* "-"??_-;_-@_-</c:formatCode>
                <c:ptCount val="3"/>
                <c:pt idx="0">
                  <c:v>51660875.110550568</c:v>
                </c:pt>
                <c:pt idx="1">
                  <c:v>53009148.376066156</c:v>
                </c:pt>
                <c:pt idx="2">
                  <c:v>42084756.224881597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4137856"/>
        <c:axId val="674142752"/>
      </c:barChart>
      <c:catAx>
        <c:axId val="67413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42752"/>
        <c:crosses val="autoZero"/>
        <c:auto val="1"/>
        <c:lblAlgn val="ctr"/>
        <c:lblOffset val="100"/>
        <c:noMultiLvlLbl val="0"/>
      </c:catAx>
      <c:valAx>
        <c:axId val="674142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7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/>
              <a:t>B/C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Comparación!$W$28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Comparación!$V$29:$V$31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Comparación!$W$29:$W$31</c:f>
              <c:numCache>
                <c:formatCode>0.00</c:formatCode>
                <c:ptCount val="3"/>
                <c:pt idx="0">
                  <c:v>17.233533854665467</c:v>
                </c:pt>
                <c:pt idx="1">
                  <c:v>16.361848687124827</c:v>
                </c:pt>
                <c:pt idx="2">
                  <c:v>17.233533854665467</c:v>
                </c:pt>
              </c:numCache>
            </c:numRef>
          </c:val>
        </c:ser>
        <c:ser>
          <c:idx val="1"/>
          <c:order val="1"/>
          <c:tx>
            <c:strRef>
              <c:f>Comparación!$X$28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Comparación!$V$29:$V$31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Comparación!$X$29:$X$31</c:f>
              <c:numCache>
                <c:formatCode>0.00</c:formatCode>
                <c:ptCount val="3"/>
                <c:pt idx="0">
                  <c:v>16.110382765814002</c:v>
                </c:pt>
                <c:pt idx="1">
                  <c:v>15.238697598273369</c:v>
                </c:pt>
                <c:pt idx="2">
                  <c:v>16.110382765814006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4137312"/>
        <c:axId val="674142208"/>
      </c:barChart>
      <c:catAx>
        <c:axId val="67413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42208"/>
        <c:crosses val="autoZero"/>
        <c:auto val="1"/>
        <c:lblAlgn val="ctr"/>
        <c:lblOffset val="100"/>
        <c:noMultiLvlLbl val="0"/>
      </c:catAx>
      <c:valAx>
        <c:axId val="674142208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7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 b="1"/>
              <a:t>TIR 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Comparación!$W$32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Comparación!$V$33:$V$35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Comparación!$W$33:$W$35</c:f>
              <c:numCache>
                <c:formatCode>0.00%</c:formatCode>
                <c:ptCount val="3"/>
                <c:pt idx="0">
                  <c:v>2.0740622532660575</c:v>
                </c:pt>
                <c:pt idx="1">
                  <c:v>1.954699656370988</c:v>
                </c:pt>
                <c:pt idx="2">
                  <c:v>1.8737229740820083</c:v>
                </c:pt>
              </c:numCache>
            </c:numRef>
          </c:val>
        </c:ser>
        <c:ser>
          <c:idx val="1"/>
          <c:order val="1"/>
          <c:tx>
            <c:strRef>
              <c:f>Comparación!$X$32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Comparación!$V$33:$V$35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Comparación!$X$33:$X$35</c:f>
              <c:numCache>
                <c:formatCode>0.00%</c:formatCode>
                <c:ptCount val="3"/>
                <c:pt idx="0">
                  <c:v>1.8769729328315434</c:v>
                </c:pt>
                <c:pt idx="1">
                  <c:v>1.7578224366105575</c:v>
                </c:pt>
                <c:pt idx="2">
                  <c:v>1.6827407371900973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4135136"/>
        <c:axId val="674130784"/>
      </c:barChart>
      <c:catAx>
        <c:axId val="67413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0784"/>
        <c:crosses val="autoZero"/>
        <c:auto val="1"/>
        <c:lblAlgn val="ctr"/>
        <c:lblOffset val="100"/>
        <c:noMultiLvlLbl val="0"/>
      </c:catAx>
      <c:valAx>
        <c:axId val="67413078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5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/>
              <a:t>TIRM 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Comparación!$W$36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Comparación!$V$37:$V$39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Comparación!$W$37:$W$39</c:f>
              <c:numCache>
                <c:formatCode>0.00%</c:formatCode>
                <c:ptCount val="3"/>
                <c:pt idx="0">
                  <c:v>0.32417664903084908</c:v>
                </c:pt>
                <c:pt idx="1">
                  <c:v>0.32013980730459801</c:v>
                </c:pt>
                <c:pt idx="2">
                  <c:v>0.32417664903084908</c:v>
                </c:pt>
              </c:numCache>
            </c:numRef>
          </c:val>
        </c:ser>
        <c:ser>
          <c:idx val="1"/>
          <c:order val="1"/>
          <c:tx>
            <c:strRef>
              <c:f>Comparación!$X$36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Comparación!$V$37:$V$39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Comparación!$X$37:$X$39</c:f>
              <c:numCache>
                <c:formatCode>0.00%</c:formatCode>
                <c:ptCount val="3"/>
                <c:pt idx="0">
                  <c:v>0.31893760138173888</c:v>
                </c:pt>
                <c:pt idx="1">
                  <c:v>0.31462894556734233</c:v>
                </c:pt>
                <c:pt idx="2">
                  <c:v>0.31893760138173888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4143296"/>
        <c:axId val="674141664"/>
      </c:barChart>
      <c:catAx>
        <c:axId val="6741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41664"/>
        <c:crosses val="autoZero"/>
        <c:auto val="1"/>
        <c:lblAlgn val="ctr"/>
        <c:lblOffset val="100"/>
        <c:noMultiLvlLbl val="0"/>
      </c:catAx>
      <c:valAx>
        <c:axId val="674141664"/>
        <c:scaling>
          <c:orientation val="minMax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4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IPC</a:t>
            </a:r>
            <a:r>
              <a:rPr lang="es-MX" baseline="0"/>
              <a:t> 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[1]IPC!$C$5:$C$119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xVal>
          <c:yVal>
            <c:numRef>
              <c:f>[1]IPC!$D$5:$D$119</c:f>
              <c:numCache>
                <c:formatCode>General</c:formatCode>
                <c:ptCount val="115"/>
                <c:pt idx="0">
                  <c:v>99.81</c:v>
                </c:pt>
                <c:pt idx="1">
                  <c:v>99.95</c:v>
                </c:pt>
                <c:pt idx="2">
                  <c:v>100.72</c:v>
                </c:pt>
                <c:pt idx="3">
                  <c:v>100.55</c:v>
                </c:pt>
                <c:pt idx="4">
                  <c:v>100.61</c:v>
                </c:pt>
                <c:pt idx="5">
                  <c:v>100.79</c:v>
                </c:pt>
                <c:pt idx="6">
                  <c:v>100.63</c:v>
                </c:pt>
                <c:pt idx="7">
                  <c:v>100.4</c:v>
                </c:pt>
                <c:pt idx="8">
                  <c:v>100.2</c:v>
                </c:pt>
                <c:pt idx="9">
                  <c:v>99.46</c:v>
                </c:pt>
                <c:pt idx="10">
                  <c:v>99.06</c:v>
                </c:pt>
                <c:pt idx="11">
                  <c:v>100</c:v>
                </c:pt>
                <c:pt idx="12">
                  <c:v>100.44</c:v>
                </c:pt>
                <c:pt idx="13">
                  <c:v>100.57</c:v>
                </c:pt>
                <c:pt idx="14">
                  <c:v>100.89</c:v>
                </c:pt>
                <c:pt idx="15">
                  <c:v>100.71</c:v>
                </c:pt>
                <c:pt idx="16">
                  <c:v>100.5</c:v>
                </c:pt>
                <c:pt idx="17">
                  <c:v>100.96</c:v>
                </c:pt>
                <c:pt idx="18">
                  <c:v>100.98</c:v>
                </c:pt>
                <c:pt idx="19">
                  <c:v>100.81</c:v>
                </c:pt>
                <c:pt idx="20">
                  <c:v>101.11</c:v>
                </c:pt>
                <c:pt idx="21">
                  <c:v>101.78</c:v>
                </c:pt>
                <c:pt idx="22">
                  <c:v>102.24</c:v>
                </c:pt>
                <c:pt idx="23">
                  <c:v>102.13</c:v>
                </c:pt>
                <c:pt idx="24">
                  <c:v>102.77</c:v>
                </c:pt>
                <c:pt idx="25">
                  <c:v>102.96</c:v>
                </c:pt>
                <c:pt idx="26">
                  <c:v>103.63</c:v>
                </c:pt>
                <c:pt idx="27">
                  <c:v>106.71</c:v>
                </c:pt>
                <c:pt idx="28">
                  <c:v>107.23</c:v>
                </c:pt>
                <c:pt idx="29">
                  <c:v>107.29</c:v>
                </c:pt>
                <c:pt idx="30">
                  <c:v>107.57</c:v>
                </c:pt>
                <c:pt idx="31">
                  <c:v>107.69</c:v>
                </c:pt>
                <c:pt idx="32">
                  <c:v>107.4</c:v>
                </c:pt>
                <c:pt idx="33">
                  <c:v>107.32</c:v>
                </c:pt>
                <c:pt idx="34">
                  <c:v>107.48</c:v>
                </c:pt>
                <c:pt idx="35">
                  <c:v>107.29</c:v>
                </c:pt>
                <c:pt idx="36">
                  <c:v>107.65</c:v>
                </c:pt>
                <c:pt idx="37">
                  <c:v>108</c:v>
                </c:pt>
                <c:pt idx="38">
                  <c:v>108.16</c:v>
                </c:pt>
                <c:pt idx="39">
                  <c:v>108.83</c:v>
                </c:pt>
                <c:pt idx="40">
                  <c:v>108.53</c:v>
                </c:pt>
                <c:pt idx="41">
                  <c:v>107.94</c:v>
                </c:pt>
                <c:pt idx="42">
                  <c:v>107.61</c:v>
                </c:pt>
                <c:pt idx="43">
                  <c:v>107.8</c:v>
                </c:pt>
                <c:pt idx="44">
                  <c:v>108.24</c:v>
                </c:pt>
                <c:pt idx="45">
                  <c:v>108.34</c:v>
                </c:pt>
                <c:pt idx="46">
                  <c:v>108.18</c:v>
                </c:pt>
                <c:pt idx="47">
                  <c:v>108.13</c:v>
                </c:pt>
                <c:pt idx="48">
                  <c:v>108.59</c:v>
                </c:pt>
                <c:pt idx="49">
                  <c:v>109.05</c:v>
                </c:pt>
                <c:pt idx="50">
                  <c:v>109.54</c:v>
                </c:pt>
                <c:pt idx="51">
                  <c:v>108.85</c:v>
                </c:pt>
                <c:pt idx="52">
                  <c:v>108.69</c:v>
                </c:pt>
                <c:pt idx="53">
                  <c:v>108.91</c:v>
                </c:pt>
                <c:pt idx="54">
                  <c:v>108.78</c:v>
                </c:pt>
                <c:pt idx="55">
                  <c:v>108.87</c:v>
                </c:pt>
                <c:pt idx="56">
                  <c:v>109.06</c:v>
                </c:pt>
                <c:pt idx="57">
                  <c:v>108.91</c:v>
                </c:pt>
                <c:pt idx="58">
                  <c:v>109</c:v>
                </c:pt>
                <c:pt idx="59">
                  <c:v>108.99</c:v>
                </c:pt>
                <c:pt idx="60">
                  <c:v>109.51</c:v>
                </c:pt>
                <c:pt idx="61">
                  <c:v>109.72</c:v>
                </c:pt>
                <c:pt idx="62">
                  <c:v>109.99</c:v>
                </c:pt>
                <c:pt idx="63">
                  <c:v>109.47</c:v>
                </c:pt>
                <c:pt idx="64">
                  <c:v>109.72</c:v>
                </c:pt>
                <c:pt idx="65">
                  <c:v>110.16</c:v>
                </c:pt>
                <c:pt idx="66">
                  <c:v>110.77</c:v>
                </c:pt>
                <c:pt idx="67">
                  <c:v>111.04</c:v>
                </c:pt>
                <c:pt idx="68">
                  <c:v>110.92</c:v>
                </c:pt>
                <c:pt idx="69">
                  <c:v>110.96</c:v>
                </c:pt>
                <c:pt idx="70">
                  <c:v>110.41</c:v>
                </c:pt>
                <c:pt idx="71">
                  <c:v>109.5</c:v>
                </c:pt>
                <c:pt idx="72">
                  <c:v>108.69</c:v>
                </c:pt>
                <c:pt idx="73">
                  <c:v>108.57</c:v>
                </c:pt>
                <c:pt idx="74">
                  <c:v>109.1</c:v>
                </c:pt>
                <c:pt idx="75">
                  <c:v>109.11</c:v>
                </c:pt>
                <c:pt idx="76">
                  <c:v>109.33</c:v>
                </c:pt>
                <c:pt idx="77">
                  <c:v>109.24</c:v>
                </c:pt>
                <c:pt idx="78">
                  <c:v>109.16</c:v>
                </c:pt>
                <c:pt idx="79">
                  <c:v>108.82</c:v>
                </c:pt>
                <c:pt idx="80">
                  <c:v>108.41</c:v>
                </c:pt>
                <c:pt idx="81">
                  <c:v>110.77</c:v>
                </c:pt>
                <c:pt idx="82">
                  <c:v>110.69</c:v>
                </c:pt>
                <c:pt idx="83">
                  <c:v>110.61</c:v>
                </c:pt>
                <c:pt idx="84">
                  <c:v>110.67</c:v>
                </c:pt>
                <c:pt idx="85">
                  <c:v>110.37</c:v>
                </c:pt>
                <c:pt idx="86">
                  <c:v>110.32</c:v>
                </c:pt>
                <c:pt idx="87">
                  <c:v>110.05</c:v>
                </c:pt>
                <c:pt idx="88">
                  <c:v>110.13</c:v>
                </c:pt>
                <c:pt idx="89">
                  <c:v>110.24</c:v>
                </c:pt>
                <c:pt idx="90">
                  <c:v>110.12</c:v>
                </c:pt>
                <c:pt idx="91">
                  <c:v>109.85</c:v>
                </c:pt>
                <c:pt idx="92">
                  <c:v>109.51</c:v>
                </c:pt>
                <c:pt idx="93">
                  <c:v>109.79</c:v>
                </c:pt>
                <c:pt idx="94">
                  <c:v>109.78</c:v>
                </c:pt>
                <c:pt idx="95">
                  <c:v>109.58</c:v>
                </c:pt>
                <c:pt idx="96">
                  <c:v>110.39</c:v>
                </c:pt>
                <c:pt idx="97">
                  <c:v>110.69</c:v>
                </c:pt>
                <c:pt idx="98">
                  <c:v>110.92</c:v>
                </c:pt>
                <c:pt idx="99">
                  <c:v>111</c:v>
                </c:pt>
                <c:pt idx="100">
                  <c:v>111.19</c:v>
                </c:pt>
                <c:pt idx="101">
                  <c:v>111.26</c:v>
                </c:pt>
                <c:pt idx="102">
                  <c:v>111.24</c:v>
                </c:pt>
                <c:pt idx="103">
                  <c:v>111.1</c:v>
                </c:pt>
                <c:pt idx="104">
                  <c:v>111.22</c:v>
                </c:pt>
                <c:pt idx="105">
                  <c:v>111.36</c:v>
                </c:pt>
                <c:pt idx="106">
                  <c:v>111.62</c:v>
                </c:pt>
                <c:pt idx="107">
                  <c:v>111.81</c:v>
                </c:pt>
                <c:pt idx="108">
                  <c:v>111.96</c:v>
                </c:pt>
                <c:pt idx="109">
                  <c:v>112.05</c:v>
                </c:pt>
                <c:pt idx="110">
                  <c:v>111.93</c:v>
                </c:pt>
                <c:pt idx="111">
                  <c:v>111.97</c:v>
                </c:pt>
                <c:pt idx="112">
                  <c:v>112.11</c:v>
                </c:pt>
                <c:pt idx="113">
                  <c:v>112.26</c:v>
                </c:pt>
                <c:pt idx="114">
                  <c:v>112.42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812640"/>
        <c:axId val="671815360"/>
      </c:scatterChart>
      <c:valAx>
        <c:axId val="67181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15360"/>
        <c:crosses val="autoZero"/>
        <c:crossBetween val="midCat"/>
      </c:valAx>
      <c:valAx>
        <c:axId val="67181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12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/>
              <a:t>PR simple [años]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Comparación!$W$40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Comparación!$V$41:$V$43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Comparación!$W$41:$W$43</c:f>
              <c:numCache>
                <c:formatCode>0.00</c:formatCode>
                <c:ptCount val="3"/>
                <c:pt idx="0">
                  <c:v>0.48580188445994932</c:v>
                </c:pt>
                <c:pt idx="1">
                  <c:v>0.51591633374979595</c:v>
                </c:pt>
                <c:pt idx="2">
                  <c:v>0.55752164162100926</c:v>
                </c:pt>
              </c:numCache>
            </c:numRef>
          </c:val>
        </c:ser>
        <c:ser>
          <c:idx val="1"/>
          <c:order val="1"/>
          <c:tx>
            <c:strRef>
              <c:f>Comparación!$X$40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Comparación!$V$41:$V$43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Comparación!$X$41:$X$43</c:f>
              <c:numCache>
                <c:formatCode>0.00</c:formatCode>
                <c:ptCount val="3"/>
                <c:pt idx="0">
                  <c:v>0.53772913851798554</c:v>
                </c:pt>
                <c:pt idx="1">
                  <c:v>0.57487161789776109</c:v>
                </c:pt>
                <c:pt idx="2">
                  <c:v>0.62700941291229018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4132416"/>
        <c:axId val="674132960"/>
      </c:barChart>
      <c:catAx>
        <c:axId val="67413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2960"/>
        <c:crosses val="autoZero"/>
        <c:auto val="1"/>
        <c:lblAlgn val="ctr"/>
        <c:lblOffset val="100"/>
        <c:noMultiLvlLbl val="0"/>
      </c:catAx>
      <c:valAx>
        <c:axId val="674132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132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/>
              <a:t>ACUMULADO [USD]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Comparación!$W$44</c:f>
              <c:strCache>
                <c:ptCount val="1"/>
                <c:pt idx="0">
                  <c:v>BID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Comparación!$V$45:$V$47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Comparación!$W$45:$W$47</c:f>
              <c:numCache>
                <c:formatCode>_-"$"* #,##0_-;\-"$"* #,##0_-;_-"$"* "-"??_-;_-@_-</c:formatCode>
                <c:ptCount val="3"/>
                <c:pt idx="0">
                  <c:v>1086494455.5969615</c:v>
                </c:pt>
                <c:pt idx="1">
                  <c:v>1127420908.335067</c:v>
                </c:pt>
                <c:pt idx="2">
                  <c:v>901556929.19606876</c:v>
                </c:pt>
              </c:numCache>
            </c:numRef>
          </c:val>
        </c:ser>
        <c:ser>
          <c:idx val="1"/>
          <c:order val="1"/>
          <c:tx>
            <c:strRef>
              <c:f>Comparación!$X$44</c:f>
              <c:strCache>
                <c:ptCount val="1"/>
                <c:pt idx="0">
                  <c:v>BCN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Comparación!$V$45:$V$47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Comparación!$X$45:$X$47</c:f>
              <c:numCache>
                <c:formatCode>_-"$"* #,##0_-;\-"$"* #,##0_-;_-"$"* "-"??_-;_-@_-</c:formatCode>
                <c:ptCount val="3"/>
                <c:pt idx="0">
                  <c:v>1038108832.4108953</c:v>
                </c:pt>
                <c:pt idx="1">
                  <c:v>1074733042.6125603</c:v>
                </c:pt>
                <c:pt idx="2">
                  <c:v>862140307.77382135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74623328"/>
        <c:axId val="674623872"/>
      </c:barChart>
      <c:catAx>
        <c:axId val="6746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623872"/>
        <c:crosses val="autoZero"/>
        <c:auto val="1"/>
        <c:lblAlgn val="ctr"/>
        <c:lblOffset val="100"/>
        <c:noMultiLvlLbl val="0"/>
      </c:catAx>
      <c:valAx>
        <c:axId val="674623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/>
                  <a:t>USD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46233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IPC</a:t>
            </a:r>
            <a:r>
              <a:rPr lang="es-MX" baseline="0"/>
              <a:t> EEUU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[1]IPC!$J$5:$J$119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</c:numCache>
            </c:numRef>
          </c:xVal>
          <c:yVal>
            <c:numRef>
              <c:f>[1]IPC!$K$5:$K$119</c:f>
              <c:numCache>
                <c:formatCode>General</c:formatCode>
                <c:ptCount val="115"/>
                <c:pt idx="0">
                  <c:v>211.143</c:v>
                </c:pt>
                <c:pt idx="1">
                  <c:v>212.19300000000001</c:v>
                </c:pt>
                <c:pt idx="2">
                  <c:v>212.709</c:v>
                </c:pt>
                <c:pt idx="3">
                  <c:v>213.24</c:v>
                </c:pt>
                <c:pt idx="4">
                  <c:v>213.85599999999999</c:v>
                </c:pt>
                <c:pt idx="5">
                  <c:v>215.69300000000001</c:v>
                </c:pt>
                <c:pt idx="6">
                  <c:v>215.351</c:v>
                </c:pt>
                <c:pt idx="7">
                  <c:v>215.834</c:v>
                </c:pt>
                <c:pt idx="8">
                  <c:v>215.96899999999999</c:v>
                </c:pt>
                <c:pt idx="9">
                  <c:v>216.17699999999999</c:v>
                </c:pt>
                <c:pt idx="10">
                  <c:v>216.33</c:v>
                </c:pt>
                <c:pt idx="11">
                  <c:v>215.94900000000001</c:v>
                </c:pt>
                <c:pt idx="12">
                  <c:v>216.68700000000001</c:v>
                </c:pt>
                <c:pt idx="13">
                  <c:v>216.74100000000001</c:v>
                </c:pt>
                <c:pt idx="14">
                  <c:v>217.631</c:v>
                </c:pt>
                <c:pt idx="15">
                  <c:v>218.00899999999999</c:v>
                </c:pt>
                <c:pt idx="16">
                  <c:v>218.178</c:v>
                </c:pt>
                <c:pt idx="17">
                  <c:v>217.965</c:v>
                </c:pt>
                <c:pt idx="18">
                  <c:v>218.011</c:v>
                </c:pt>
                <c:pt idx="19">
                  <c:v>218.31200000000001</c:v>
                </c:pt>
                <c:pt idx="20">
                  <c:v>218.43899999999999</c:v>
                </c:pt>
                <c:pt idx="21">
                  <c:v>218.71100000000001</c:v>
                </c:pt>
                <c:pt idx="22">
                  <c:v>218.803</c:v>
                </c:pt>
                <c:pt idx="23">
                  <c:v>219.179</c:v>
                </c:pt>
                <c:pt idx="24">
                  <c:v>220.22300000000001</c:v>
                </c:pt>
                <c:pt idx="25">
                  <c:v>221.309</c:v>
                </c:pt>
                <c:pt idx="26">
                  <c:v>223.46700000000001</c:v>
                </c:pt>
                <c:pt idx="27">
                  <c:v>224.90600000000001</c:v>
                </c:pt>
                <c:pt idx="28">
                  <c:v>225.964</c:v>
                </c:pt>
                <c:pt idx="29">
                  <c:v>225.72200000000001</c:v>
                </c:pt>
                <c:pt idx="30">
                  <c:v>225.922</c:v>
                </c:pt>
                <c:pt idx="31">
                  <c:v>226.54499999999999</c:v>
                </c:pt>
                <c:pt idx="32">
                  <c:v>226.88900000000001</c:v>
                </c:pt>
                <c:pt idx="33">
                  <c:v>226.42099999999999</c:v>
                </c:pt>
                <c:pt idx="34">
                  <c:v>226.23</c:v>
                </c:pt>
                <c:pt idx="35">
                  <c:v>225.672</c:v>
                </c:pt>
                <c:pt idx="36">
                  <c:v>226.655</c:v>
                </c:pt>
                <c:pt idx="37">
                  <c:v>227.66300000000001</c:v>
                </c:pt>
                <c:pt idx="38">
                  <c:v>229.392</c:v>
                </c:pt>
                <c:pt idx="39">
                  <c:v>230.08500000000001</c:v>
                </c:pt>
                <c:pt idx="40">
                  <c:v>229.815</c:v>
                </c:pt>
                <c:pt idx="41">
                  <c:v>229.47800000000001</c:v>
                </c:pt>
                <c:pt idx="42">
                  <c:v>229.10400000000001</c:v>
                </c:pt>
                <c:pt idx="43">
                  <c:v>230.37899999999999</c:v>
                </c:pt>
                <c:pt idx="44">
                  <c:v>231.40700000000001</c:v>
                </c:pt>
                <c:pt idx="45">
                  <c:v>231.31700000000001</c:v>
                </c:pt>
                <c:pt idx="46">
                  <c:v>230.221</c:v>
                </c:pt>
                <c:pt idx="47">
                  <c:v>229.601</c:v>
                </c:pt>
                <c:pt idx="48">
                  <c:v>230.28</c:v>
                </c:pt>
                <c:pt idx="49">
                  <c:v>232.166</c:v>
                </c:pt>
                <c:pt idx="50">
                  <c:v>232.773</c:v>
                </c:pt>
                <c:pt idx="51">
                  <c:v>232.53100000000001</c:v>
                </c:pt>
                <c:pt idx="52">
                  <c:v>232.94499999999999</c:v>
                </c:pt>
                <c:pt idx="53">
                  <c:v>233.50399999999999</c:v>
                </c:pt>
                <c:pt idx="54">
                  <c:v>233.596</c:v>
                </c:pt>
                <c:pt idx="55">
                  <c:v>233.87700000000001</c:v>
                </c:pt>
                <c:pt idx="56">
                  <c:v>234.149</c:v>
                </c:pt>
                <c:pt idx="57">
                  <c:v>233.54599999999999</c:v>
                </c:pt>
                <c:pt idx="58">
                  <c:v>233.06899999999999</c:v>
                </c:pt>
                <c:pt idx="59">
                  <c:v>233.04900000000001</c:v>
                </c:pt>
                <c:pt idx="60">
                  <c:v>233.916</c:v>
                </c:pt>
                <c:pt idx="61">
                  <c:v>234.78100000000001</c:v>
                </c:pt>
                <c:pt idx="62">
                  <c:v>236.29300000000001</c:v>
                </c:pt>
                <c:pt idx="63">
                  <c:v>237.072</c:v>
                </c:pt>
                <c:pt idx="64">
                  <c:v>237.9</c:v>
                </c:pt>
                <c:pt idx="65">
                  <c:v>238.34299999999999</c:v>
                </c:pt>
                <c:pt idx="66">
                  <c:v>238.25</c:v>
                </c:pt>
                <c:pt idx="67">
                  <c:v>237.852</c:v>
                </c:pt>
                <c:pt idx="68">
                  <c:v>238.03100000000001</c:v>
                </c:pt>
                <c:pt idx="69">
                  <c:v>237.43299999999999</c:v>
                </c:pt>
                <c:pt idx="70">
                  <c:v>236.15100000000001</c:v>
                </c:pt>
                <c:pt idx="71">
                  <c:v>234.81200000000001</c:v>
                </c:pt>
                <c:pt idx="72">
                  <c:v>233.70699999999999</c:v>
                </c:pt>
                <c:pt idx="73">
                  <c:v>234.72200000000001</c:v>
                </c:pt>
                <c:pt idx="74">
                  <c:v>236.119</c:v>
                </c:pt>
                <c:pt idx="75">
                  <c:v>236.59899999999999</c:v>
                </c:pt>
                <c:pt idx="76">
                  <c:v>237.80500000000001</c:v>
                </c:pt>
                <c:pt idx="77">
                  <c:v>238.63800000000001</c:v>
                </c:pt>
                <c:pt idx="78">
                  <c:v>238.654</c:v>
                </c:pt>
                <c:pt idx="79">
                  <c:v>238.316</c:v>
                </c:pt>
                <c:pt idx="80">
                  <c:v>237.94499999999999</c:v>
                </c:pt>
                <c:pt idx="81">
                  <c:v>237.83799999999999</c:v>
                </c:pt>
                <c:pt idx="82">
                  <c:v>237.33600000000001</c:v>
                </c:pt>
                <c:pt idx="83">
                  <c:v>236.52500000000001</c:v>
                </c:pt>
                <c:pt idx="84">
                  <c:v>236.916</c:v>
                </c:pt>
                <c:pt idx="85">
                  <c:v>237.11099999999999</c:v>
                </c:pt>
                <c:pt idx="86">
                  <c:v>238.13200000000001</c:v>
                </c:pt>
                <c:pt idx="87">
                  <c:v>239.261</c:v>
                </c:pt>
                <c:pt idx="88">
                  <c:v>240.23599999999999</c:v>
                </c:pt>
                <c:pt idx="89">
                  <c:v>241.03800000000001</c:v>
                </c:pt>
                <c:pt idx="90">
                  <c:v>240.64699999999999</c:v>
                </c:pt>
                <c:pt idx="91">
                  <c:v>240.85300000000001</c:v>
                </c:pt>
                <c:pt idx="92">
                  <c:v>241.428</c:v>
                </c:pt>
                <c:pt idx="93">
                  <c:v>241.72900000000001</c:v>
                </c:pt>
                <c:pt idx="94">
                  <c:v>241.35300000000001</c:v>
                </c:pt>
                <c:pt idx="95">
                  <c:v>241.43199999999999</c:v>
                </c:pt>
                <c:pt idx="96">
                  <c:v>242.839</c:v>
                </c:pt>
                <c:pt idx="97">
                  <c:v>243.60300000000001</c:v>
                </c:pt>
                <c:pt idx="98">
                  <c:v>243.80099999999999</c:v>
                </c:pt>
                <c:pt idx="99">
                  <c:v>244.524</c:v>
                </c:pt>
                <c:pt idx="100">
                  <c:v>244.733</c:v>
                </c:pt>
                <c:pt idx="101">
                  <c:v>244.95500000000001</c:v>
                </c:pt>
                <c:pt idx="102">
                  <c:v>244.786</c:v>
                </c:pt>
                <c:pt idx="103">
                  <c:v>245.51900000000001</c:v>
                </c:pt>
                <c:pt idx="104">
                  <c:v>246.81899999999999</c:v>
                </c:pt>
                <c:pt idx="105">
                  <c:v>246.66300000000001</c:v>
                </c:pt>
                <c:pt idx="106">
                  <c:v>246.66900000000001</c:v>
                </c:pt>
                <c:pt idx="107">
                  <c:v>246.524</c:v>
                </c:pt>
                <c:pt idx="108">
                  <c:v>247.86699999999999</c:v>
                </c:pt>
                <c:pt idx="109">
                  <c:v>248.99100000000001</c:v>
                </c:pt>
                <c:pt idx="110">
                  <c:v>249.554</c:v>
                </c:pt>
                <c:pt idx="111">
                  <c:v>250.54599999999999</c:v>
                </c:pt>
                <c:pt idx="112">
                  <c:v>251.58799999999999</c:v>
                </c:pt>
                <c:pt idx="113">
                  <c:v>251.989</c:v>
                </c:pt>
                <c:pt idx="114">
                  <c:v>252.006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809920"/>
        <c:axId val="671809376"/>
      </c:scatterChart>
      <c:valAx>
        <c:axId val="67180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09376"/>
        <c:crosses val="autoZero"/>
        <c:crossBetween val="midCat"/>
      </c:valAx>
      <c:valAx>
        <c:axId val="6718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0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IPC</a:t>
            </a:r>
            <a:r>
              <a:rPr lang="es-MX" baseline="0"/>
              <a:t> ES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variación promedio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[1]IPC!$C$5:$C$156</c:f>
              <c:numCache>
                <c:formatCode>General</c:formatCode>
                <c:ptCount val="1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</c:numCache>
            </c:numRef>
          </c:xVal>
          <c:yVal>
            <c:numRef>
              <c:f>[1]IPC!$D$5:$D$156</c:f>
              <c:numCache>
                <c:formatCode>General</c:formatCode>
                <c:ptCount val="152"/>
                <c:pt idx="0">
                  <c:v>99.81</c:v>
                </c:pt>
                <c:pt idx="1">
                  <c:v>99.95</c:v>
                </c:pt>
                <c:pt idx="2">
                  <c:v>100.72</c:v>
                </c:pt>
                <c:pt idx="3">
                  <c:v>100.55</c:v>
                </c:pt>
                <c:pt idx="4">
                  <c:v>100.61</c:v>
                </c:pt>
                <c:pt idx="5">
                  <c:v>100.79</c:v>
                </c:pt>
                <c:pt idx="6">
                  <c:v>100.63</c:v>
                </c:pt>
                <c:pt idx="7">
                  <c:v>100.4</c:v>
                </c:pt>
                <c:pt idx="8">
                  <c:v>100.2</c:v>
                </c:pt>
                <c:pt idx="9">
                  <c:v>99.46</c:v>
                </c:pt>
                <c:pt idx="10">
                  <c:v>99.06</c:v>
                </c:pt>
                <c:pt idx="11">
                  <c:v>100</c:v>
                </c:pt>
                <c:pt idx="12">
                  <c:v>100.44</c:v>
                </c:pt>
                <c:pt idx="13">
                  <c:v>100.57</c:v>
                </c:pt>
                <c:pt idx="14">
                  <c:v>100.89</c:v>
                </c:pt>
                <c:pt idx="15">
                  <c:v>100.71</c:v>
                </c:pt>
                <c:pt idx="16">
                  <c:v>100.5</c:v>
                </c:pt>
                <c:pt idx="17">
                  <c:v>100.96</c:v>
                </c:pt>
                <c:pt idx="18">
                  <c:v>100.98</c:v>
                </c:pt>
                <c:pt idx="19">
                  <c:v>100.81</c:v>
                </c:pt>
                <c:pt idx="20">
                  <c:v>101.11</c:v>
                </c:pt>
                <c:pt idx="21">
                  <c:v>101.78</c:v>
                </c:pt>
                <c:pt idx="22">
                  <c:v>102.24</c:v>
                </c:pt>
                <c:pt idx="23">
                  <c:v>102.13</c:v>
                </c:pt>
                <c:pt idx="24">
                  <c:v>102.77</c:v>
                </c:pt>
                <c:pt idx="25">
                  <c:v>102.96</c:v>
                </c:pt>
                <c:pt idx="26">
                  <c:v>103.63</c:v>
                </c:pt>
                <c:pt idx="27">
                  <c:v>106.71</c:v>
                </c:pt>
                <c:pt idx="28">
                  <c:v>107.23</c:v>
                </c:pt>
                <c:pt idx="29">
                  <c:v>107.29</c:v>
                </c:pt>
                <c:pt idx="30">
                  <c:v>107.57</c:v>
                </c:pt>
                <c:pt idx="31">
                  <c:v>107.69</c:v>
                </c:pt>
                <c:pt idx="32">
                  <c:v>107.4</c:v>
                </c:pt>
                <c:pt idx="33">
                  <c:v>107.32</c:v>
                </c:pt>
                <c:pt idx="34">
                  <c:v>107.48</c:v>
                </c:pt>
                <c:pt idx="35">
                  <c:v>107.29</c:v>
                </c:pt>
                <c:pt idx="36">
                  <c:v>107.65</c:v>
                </c:pt>
                <c:pt idx="37">
                  <c:v>108</c:v>
                </c:pt>
                <c:pt idx="38">
                  <c:v>108.16</c:v>
                </c:pt>
                <c:pt idx="39">
                  <c:v>108.83</c:v>
                </c:pt>
                <c:pt idx="40">
                  <c:v>108.53</c:v>
                </c:pt>
                <c:pt idx="41">
                  <c:v>107.94</c:v>
                </c:pt>
                <c:pt idx="42">
                  <c:v>107.61</c:v>
                </c:pt>
                <c:pt idx="43">
                  <c:v>107.8</c:v>
                </c:pt>
                <c:pt idx="44">
                  <c:v>108.24</c:v>
                </c:pt>
                <c:pt idx="45">
                  <c:v>108.34</c:v>
                </c:pt>
                <c:pt idx="46">
                  <c:v>108.18</c:v>
                </c:pt>
                <c:pt idx="47">
                  <c:v>108.13</c:v>
                </c:pt>
                <c:pt idx="48">
                  <c:v>108.59</c:v>
                </c:pt>
                <c:pt idx="49">
                  <c:v>109.05</c:v>
                </c:pt>
                <c:pt idx="50">
                  <c:v>109.54</c:v>
                </c:pt>
                <c:pt idx="51">
                  <c:v>108.85</c:v>
                </c:pt>
                <c:pt idx="52">
                  <c:v>108.69</c:v>
                </c:pt>
                <c:pt idx="53">
                  <c:v>108.91</c:v>
                </c:pt>
                <c:pt idx="54">
                  <c:v>108.78</c:v>
                </c:pt>
                <c:pt idx="55">
                  <c:v>108.87</c:v>
                </c:pt>
                <c:pt idx="56">
                  <c:v>109.06</c:v>
                </c:pt>
                <c:pt idx="57">
                  <c:v>108.91</c:v>
                </c:pt>
                <c:pt idx="58">
                  <c:v>109</c:v>
                </c:pt>
                <c:pt idx="59">
                  <c:v>108.99</c:v>
                </c:pt>
                <c:pt idx="60">
                  <c:v>109.51</c:v>
                </c:pt>
                <c:pt idx="61">
                  <c:v>109.72</c:v>
                </c:pt>
                <c:pt idx="62">
                  <c:v>109.99</c:v>
                </c:pt>
                <c:pt idx="63">
                  <c:v>109.47</c:v>
                </c:pt>
                <c:pt idx="64">
                  <c:v>109.72</c:v>
                </c:pt>
                <c:pt idx="65">
                  <c:v>110.16</c:v>
                </c:pt>
                <c:pt idx="66">
                  <c:v>110.77</c:v>
                </c:pt>
                <c:pt idx="67">
                  <c:v>111.04</c:v>
                </c:pt>
                <c:pt idx="68">
                  <c:v>110.92</c:v>
                </c:pt>
                <c:pt idx="69">
                  <c:v>110.96</c:v>
                </c:pt>
                <c:pt idx="70">
                  <c:v>110.41</c:v>
                </c:pt>
                <c:pt idx="71">
                  <c:v>109.5</c:v>
                </c:pt>
                <c:pt idx="72">
                  <c:v>108.69</c:v>
                </c:pt>
                <c:pt idx="73">
                  <c:v>108.57</c:v>
                </c:pt>
                <c:pt idx="74">
                  <c:v>109.1</c:v>
                </c:pt>
                <c:pt idx="75">
                  <c:v>109.11</c:v>
                </c:pt>
                <c:pt idx="76">
                  <c:v>109.33</c:v>
                </c:pt>
                <c:pt idx="77">
                  <c:v>109.24</c:v>
                </c:pt>
                <c:pt idx="78">
                  <c:v>109.16</c:v>
                </c:pt>
                <c:pt idx="79">
                  <c:v>108.82</c:v>
                </c:pt>
                <c:pt idx="80">
                  <c:v>108.41</c:v>
                </c:pt>
                <c:pt idx="81">
                  <c:v>110.77</c:v>
                </c:pt>
                <c:pt idx="82">
                  <c:v>110.69</c:v>
                </c:pt>
                <c:pt idx="83">
                  <c:v>110.61</c:v>
                </c:pt>
                <c:pt idx="84">
                  <c:v>110.67</c:v>
                </c:pt>
                <c:pt idx="85">
                  <c:v>110.37</c:v>
                </c:pt>
                <c:pt idx="86">
                  <c:v>110.32</c:v>
                </c:pt>
                <c:pt idx="87">
                  <c:v>110.05</c:v>
                </c:pt>
                <c:pt idx="88">
                  <c:v>110.13</c:v>
                </c:pt>
                <c:pt idx="89">
                  <c:v>110.24</c:v>
                </c:pt>
                <c:pt idx="90">
                  <c:v>110.12</c:v>
                </c:pt>
                <c:pt idx="91">
                  <c:v>109.85</c:v>
                </c:pt>
                <c:pt idx="92">
                  <c:v>109.51</c:v>
                </c:pt>
                <c:pt idx="93">
                  <c:v>109.79</c:v>
                </c:pt>
                <c:pt idx="94">
                  <c:v>109.78</c:v>
                </c:pt>
                <c:pt idx="95">
                  <c:v>109.58</c:v>
                </c:pt>
                <c:pt idx="96">
                  <c:v>110.39</c:v>
                </c:pt>
                <c:pt idx="97">
                  <c:v>110.69</c:v>
                </c:pt>
                <c:pt idx="98">
                  <c:v>110.92</c:v>
                </c:pt>
                <c:pt idx="99">
                  <c:v>111</c:v>
                </c:pt>
                <c:pt idx="100">
                  <c:v>111.19</c:v>
                </c:pt>
                <c:pt idx="101">
                  <c:v>111.26</c:v>
                </c:pt>
                <c:pt idx="102">
                  <c:v>111.24</c:v>
                </c:pt>
                <c:pt idx="103">
                  <c:v>111.1</c:v>
                </c:pt>
                <c:pt idx="104">
                  <c:v>111.22</c:v>
                </c:pt>
                <c:pt idx="105">
                  <c:v>111.36</c:v>
                </c:pt>
                <c:pt idx="106">
                  <c:v>111.62</c:v>
                </c:pt>
                <c:pt idx="107">
                  <c:v>111.81</c:v>
                </c:pt>
                <c:pt idx="108">
                  <c:v>111.96</c:v>
                </c:pt>
                <c:pt idx="109">
                  <c:v>112.05</c:v>
                </c:pt>
                <c:pt idx="110">
                  <c:v>111.93</c:v>
                </c:pt>
                <c:pt idx="111">
                  <c:v>111.97</c:v>
                </c:pt>
                <c:pt idx="112">
                  <c:v>112.11</c:v>
                </c:pt>
                <c:pt idx="113">
                  <c:v>112.26</c:v>
                </c:pt>
                <c:pt idx="114">
                  <c:v>112.42</c:v>
                </c:pt>
                <c:pt idx="115">
                  <c:v>112.53857293896102</c:v>
                </c:pt>
                <c:pt idx="116">
                  <c:v>112.65727094056085</c:v>
                </c:pt>
                <c:pt idx="117">
                  <c:v>112.776094136707</c:v>
                </c:pt>
                <c:pt idx="118">
                  <c:v>112.89504265944613</c:v>
                </c:pt>
                <c:pt idx="119">
                  <c:v>113.01411664096419</c:v>
                </c:pt>
                <c:pt idx="120">
                  <c:v>113.13331621358653</c:v>
                </c:pt>
                <c:pt idx="121">
                  <c:v>113.25264150977804</c:v>
                </c:pt>
                <c:pt idx="122">
                  <c:v>113.3720926621434</c:v>
                </c:pt>
                <c:pt idx="123">
                  <c:v>113.49166980342709</c:v>
                </c:pt>
                <c:pt idx="124">
                  <c:v>113.61137306651359</c:v>
                </c:pt>
                <c:pt idx="125">
                  <c:v>113.73120258442761</c:v>
                </c:pt>
                <c:pt idx="126">
                  <c:v>113.85115849033409</c:v>
                </c:pt>
                <c:pt idx="127">
                  <c:v>113.97124091753845</c:v>
                </c:pt>
                <c:pt idx="128">
                  <c:v>114.09144999948674</c:v>
                </c:pt>
                <c:pt idx="129">
                  <c:v>114.21178586976572</c:v>
                </c:pt>
                <c:pt idx="130">
                  <c:v>114.33224866210307</c:v>
                </c:pt>
                <c:pt idx="131">
                  <c:v>114.4528385103675</c:v>
                </c:pt>
                <c:pt idx="132">
                  <c:v>114.57355554856893</c:v>
                </c:pt>
                <c:pt idx="133">
                  <c:v>114.69439991085862</c:v>
                </c:pt>
                <c:pt idx="134">
                  <c:v>114.81537173152932</c:v>
                </c:pt>
                <c:pt idx="135">
                  <c:v>114.93647114501545</c:v>
                </c:pt>
                <c:pt idx="136">
                  <c:v>115.05769828589317</c:v>
                </c:pt>
                <c:pt idx="137">
                  <c:v>115.17905328888061</c:v>
                </c:pt>
                <c:pt idx="138">
                  <c:v>115.300536288838</c:v>
                </c:pt>
                <c:pt idx="139">
                  <c:v>115.42214742076781</c:v>
                </c:pt>
                <c:pt idx="140">
                  <c:v>115.54388681981489</c:v>
                </c:pt>
                <c:pt idx="141">
                  <c:v>115.66575462126663</c:v>
                </c:pt>
                <c:pt idx="142">
                  <c:v>115.78775096055313</c:v>
                </c:pt>
                <c:pt idx="143">
                  <c:v>115.9098759732473</c:v>
                </c:pt>
                <c:pt idx="144">
                  <c:v>116.03212979506507</c:v>
                </c:pt>
                <c:pt idx="145">
                  <c:v>116.15451256186553</c:v>
                </c:pt>
                <c:pt idx="146">
                  <c:v>116.27702440965102</c:v>
                </c:pt>
                <c:pt idx="147">
                  <c:v>116.39966547456736</c:v>
                </c:pt>
                <c:pt idx="148">
                  <c:v>116.52243589290394</c:v>
                </c:pt>
                <c:pt idx="149">
                  <c:v>116.64533580109394</c:v>
                </c:pt>
                <c:pt idx="150">
                  <c:v>116.76836533571438</c:v>
                </c:pt>
                <c:pt idx="151">
                  <c:v>116.89152463348638</c:v>
                </c:pt>
              </c:numCache>
            </c:numRef>
          </c:yVal>
          <c:smooth val="0"/>
        </c:ser>
        <c:ser>
          <c:idx val="1"/>
          <c:order val="1"/>
          <c:tx>
            <c:v>regresion lineal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[1]IPC!$C$5:$C$156</c:f>
              <c:numCache>
                <c:formatCode>General</c:formatCode>
                <c:ptCount val="1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</c:numCache>
            </c:numRef>
          </c:xVal>
          <c:yVal>
            <c:numRef>
              <c:f>[1]IPC!$F$5:$F$156</c:f>
              <c:numCache>
                <c:formatCode>General</c:formatCode>
                <c:ptCount val="152"/>
                <c:pt idx="0">
                  <c:v>99.81</c:v>
                </c:pt>
                <c:pt idx="1">
                  <c:v>99.95</c:v>
                </c:pt>
                <c:pt idx="2">
                  <c:v>100.72</c:v>
                </c:pt>
                <c:pt idx="3">
                  <c:v>100.55</c:v>
                </c:pt>
                <c:pt idx="4">
                  <c:v>100.61</c:v>
                </c:pt>
                <c:pt idx="5">
                  <c:v>100.79</c:v>
                </c:pt>
                <c:pt idx="6">
                  <c:v>100.63</c:v>
                </c:pt>
                <c:pt idx="7">
                  <c:v>100.4</c:v>
                </c:pt>
                <c:pt idx="8">
                  <c:v>100.2</c:v>
                </c:pt>
                <c:pt idx="9">
                  <c:v>99.46</c:v>
                </c:pt>
                <c:pt idx="10">
                  <c:v>99.06</c:v>
                </c:pt>
                <c:pt idx="11">
                  <c:v>100</c:v>
                </c:pt>
                <c:pt idx="12">
                  <c:v>100.44</c:v>
                </c:pt>
                <c:pt idx="13">
                  <c:v>100.57</c:v>
                </c:pt>
                <c:pt idx="14">
                  <c:v>100.89</c:v>
                </c:pt>
                <c:pt idx="15">
                  <c:v>100.71</c:v>
                </c:pt>
                <c:pt idx="16">
                  <c:v>100.5</c:v>
                </c:pt>
                <c:pt idx="17">
                  <c:v>100.96</c:v>
                </c:pt>
                <c:pt idx="18">
                  <c:v>100.98</c:v>
                </c:pt>
                <c:pt idx="19">
                  <c:v>100.81</c:v>
                </c:pt>
                <c:pt idx="20">
                  <c:v>101.11</c:v>
                </c:pt>
                <c:pt idx="21">
                  <c:v>101.78</c:v>
                </c:pt>
                <c:pt idx="22">
                  <c:v>102.24</c:v>
                </c:pt>
                <c:pt idx="23">
                  <c:v>102.13</c:v>
                </c:pt>
                <c:pt idx="24">
                  <c:v>102.77</c:v>
                </c:pt>
                <c:pt idx="25">
                  <c:v>102.96</c:v>
                </c:pt>
                <c:pt idx="26">
                  <c:v>103.63</c:v>
                </c:pt>
                <c:pt idx="27">
                  <c:v>106.71</c:v>
                </c:pt>
                <c:pt idx="28">
                  <c:v>107.23</c:v>
                </c:pt>
                <c:pt idx="29">
                  <c:v>107.29</c:v>
                </c:pt>
                <c:pt idx="30">
                  <c:v>107.57</c:v>
                </c:pt>
                <c:pt idx="31">
                  <c:v>107.69</c:v>
                </c:pt>
                <c:pt idx="32">
                  <c:v>107.4</c:v>
                </c:pt>
                <c:pt idx="33">
                  <c:v>107.32</c:v>
                </c:pt>
                <c:pt idx="34">
                  <c:v>107.48</c:v>
                </c:pt>
                <c:pt idx="35">
                  <c:v>107.29</c:v>
                </c:pt>
                <c:pt idx="36">
                  <c:v>107.65</c:v>
                </c:pt>
                <c:pt idx="37">
                  <c:v>108</c:v>
                </c:pt>
                <c:pt idx="38">
                  <c:v>108.16</c:v>
                </c:pt>
                <c:pt idx="39">
                  <c:v>108.83</c:v>
                </c:pt>
                <c:pt idx="40">
                  <c:v>108.53</c:v>
                </c:pt>
                <c:pt idx="41">
                  <c:v>107.94</c:v>
                </c:pt>
                <c:pt idx="42">
                  <c:v>107.61</c:v>
                </c:pt>
                <c:pt idx="43">
                  <c:v>107.8</c:v>
                </c:pt>
                <c:pt idx="44">
                  <c:v>108.24</c:v>
                </c:pt>
                <c:pt idx="45">
                  <c:v>108.34</c:v>
                </c:pt>
                <c:pt idx="46">
                  <c:v>108.18</c:v>
                </c:pt>
                <c:pt idx="47">
                  <c:v>108.13</c:v>
                </c:pt>
                <c:pt idx="48">
                  <c:v>108.59</c:v>
                </c:pt>
                <c:pt idx="49">
                  <c:v>109.05</c:v>
                </c:pt>
                <c:pt idx="50">
                  <c:v>109.54</c:v>
                </c:pt>
                <c:pt idx="51">
                  <c:v>108.85</c:v>
                </c:pt>
                <c:pt idx="52">
                  <c:v>108.69</c:v>
                </c:pt>
                <c:pt idx="53">
                  <c:v>108.91</c:v>
                </c:pt>
                <c:pt idx="54">
                  <c:v>108.78</c:v>
                </c:pt>
                <c:pt idx="55">
                  <c:v>108.87</c:v>
                </c:pt>
                <c:pt idx="56">
                  <c:v>109.06</c:v>
                </c:pt>
                <c:pt idx="57">
                  <c:v>108.91</c:v>
                </c:pt>
                <c:pt idx="58">
                  <c:v>109</c:v>
                </c:pt>
                <c:pt idx="59">
                  <c:v>108.99</c:v>
                </c:pt>
                <c:pt idx="60">
                  <c:v>109.51</c:v>
                </c:pt>
                <c:pt idx="61">
                  <c:v>109.72</c:v>
                </c:pt>
                <c:pt idx="62">
                  <c:v>109.99</c:v>
                </c:pt>
                <c:pt idx="63">
                  <c:v>109.47</c:v>
                </c:pt>
                <c:pt idx="64">
                  <c:v>109.72</c:v>
                </c:pt>
                <c:pt idx="65">
                  <c:v>110.16</c:v>
                </c:pt>
                <c:pt idx="66">
                  <c:v>110.77</c:v>
                </c:pt>
                <c:pt idx="67">
                  <c:v>111.04</c:v>
                </c:pt>
                <c:pt idx="68">
                  <c:v>110.92</c:v>
                </c:pt>
                <c:pt idx="69">
                  <c:v>110.96</c:v>
                </c:pt>
                <c:pt idx="70">
                  <c:v>110.41</c:v>
                </c:pt>
                <c:pt idx="71">
                  <c:v>109.5</c:v>
                </c:pt>
                <c:pt idx="72">
                  <c:v>108.69</c:v>
                </c:pt>
                <c:pt idx="73">
                  <c:v>108.57</c:v>
                </c:pt>
                <c:pt idx="74">
                  <c:v>109.1</c:v>
                </c:pt>
                <c:pt idx="75">
                  <c:v>109.11</c:v>
                </c:pt>
                <c:pt idx="76">
                  <c:v>109.33</c:v>
                </c:pt>
                <c:pt idx="77">
                  <c:v>109.24</c:v>
                </c:pt>
                <c:pt idx="78">
                  <c:v>109.16</c:v>
                </c:pt>
                <c:pt idx="79">
                  <c:v>108.82</c:v>
                </c:pt>
                <c:pt idx="80">
                  <c:v>108.41</c:v>
                </c:pt>
                <c:pt idx="81">
                  <c:v>110.77</c:v>
                </c:pt>
                <c:pt idx="82">
                  <c:v>110.69</c:v>
                </c:pt>
                <c:pt idx="83">
                  <c:v>110.61</c:v>
                </c:pt>
                <c:pt idx="84">
                  <c:v>110.67</c:v>
                </c:pt>
                <c:pt idx="85">
                  <c:v>110.37</c:v>
                </c:pt>
                <c:pt idx="86">
                  <c:v>110.32</c:v>
                </c:pt>
                <c:pt idx="87">
                  <c:v>110.05</c:v>
                </c:pt>
                <c:pt idx="88">
                  <c:v>110.13</c:v>
                </c:pt>
                <c:pt idx="89">
                  <c:v>110.24</c:v>
                </c:pt>
                <c:pt idx="90">
                  <c:v>110.12</c:v>
                </c:pt>
                <c:pt idx="91">
                  <c:v>109.85</c:v>
                </c:pt>
                <c:pt idx="92">
                  <c:v>109.51</c:v>
                </c:pt>
                <c:pt idx="93">
                  <c:v>109.79</c:v>
                </c:pt>
                <c:pt idx="94">
                  <c:v>109.78</c:v>
                </c:pt>
                <c:pt idx="95">
                  <c:v>109.58</c:v>
                </c:pt>
                <c:pt idx="96">
                  <c:v>110.39</c:v>
                </c:pt>
                <c:pt idx="97">
                  <c:v>110.69</c:v>
                </c:pt>
                <c:pt idx="98">
                  <c:v>110.92</c:v>
                </c:pt>
                <c:pt idx="99">
                  <c:v>111</c:v>
                </c:pt>
                <c:pt idx="100">
                  <c:v>111.19</c:v>
                </c:pt>
                <c:pt idx="101">
                  <c:v>111.26</c:v>
                </c:pt>
                <c:pt idx="102">
                  <c:v>111.24</c:v>
                </c:pt>
                <c:pt idx="103">
                  <c:v>111.1</c:v>
                </c:pt>
                <c:pt idx="104">
                  <c:v>111.22</c:v>
                </c:pt>
                <c:pt idx="105">
                  <c:v>111.36</c:v>
                </c:pt>
                <c:pt idx="106">
                  <c:v>111.62</c:v>
                </c:pt>
                <c:pt idx="107">
                  <c:v>111.81</c:v>
                </c:pt>
                <c:pt idx="108">
                  <c:v>111.96</c:v>
                </c:pt>
                <c:pt idx="109">
                  <c:v>112.05</c:v>
                </c:pt>
                <c:pt idx="110">
                  <c:v>111.93</c:v>
                </c:pt>
                <c:pt idx="111">
                  <c:v>111.97</c:v>
                </c:pt>
                <c:pt idx="112">
                  <c:v>112.11</c:v>
                </c:pt>
                <c:pt idx="113">
                  <c:v>112.26</c:v>
                </c:pt>
                <c:pt idx="114">
                  <c:v>112.42</c:v>
                </c:pt>
                <c:pt idx="115">
                  <c:v>113.63999999999999</c:v>
                </c:pt>
                <c:pt idx="116">
                  <c:v>113.74499999999999</c:v>
                </c:pt>
                <c:pt idx="117">
                  <c:v>113.85</c:v>
                </c:pt>
                <c:pt idx="118">
                  <c:v>113.955</c:v>
                </c:pt>
                <c:pt idx="119">
                  <c:v>114.05999999999999</c:v>
                </c:pt>
                <c:pt idx="120">
                  <c:v>114.16499999999999</c:v>
                </c:pt>
                <c:pt idx="121">
                  <c:v>114.27</c:v>
                </c:pt>
                <c:pt idx="122">
                  <c:v>114.375</c:v>
                </c:pt>
                <c:pt idx="123">
                  <c:v>114.47999999999999</c:v>
                </c:pt>
                <c:pt idx="124">
                  <c:v>114.58499999999999</c:v>
                </c:pt>
                <c:pt idx="125">
                  <c:v>114.69</c:v>
                </c:pt>
                <c:pt idx="126">
                  <c:v>114.79499999999999</c:v>
                </c:pt>
                <c:pt idx="127">
                  <c:v>114.89999999999999</c:v>
                </c:pt>
                <c:pt idx="128">
                  <c:v>115.005</c:v>
                </c:pt>
                <c:pt idx="129">
                  <c:v>115.11</c:v>
                </c:pt>
                <c:pt idx="130">
                  <c:v>115.21499999999999</c:v>
                </c:pt>
                <c:pt idx="131">
                  <c:v>115.32</c:v>
                </c:pt>
                <c:pt idx="132">
                  <c:v>115.425</c:v>
                </c:pt>
                <c:pt idx="133">
                  <c:v>115.53</c:v>
                </c:pt>
                <c:pt idx="134">
                  <c:v>115.63499999999999</c:v>
                </c:pt>
                <c:pt idx="135">
                  <c:v>115.74</c:v>
                </c:pt>
                <c:pt idx="136">
                  <c:v>115.845</c:v>
                </c:pt>
                <c:pt idx="137">
                  <c:v>115.94999999999999</c:v>
                </c:pt>
                <c:pt idx="138">
                  <c:v>116.05499999999999</c:v>
                </c:pt>
                <c:pt idx="139">
                  <c:v>116.16</c:v>
                </c:pt>
                <c:pt idx="140">
                  <c:v>116.26499999999999</c:v>
                </c:pt>
                <c:pt idx="141">
                  <c:v>116.36999999999999</c:v>
                </c:pt>
                <c:pt idx="142">
                  <c:v>116.47499999999999</c:v>
                </c:pt>
                <c:pt idx="143">
                  <c:v>116.58</c:v>
                </c:pt>
                <c:pt idx="144">
                  <c:v>116.68499999999999</c:v>
                </c:pt>
                <c:pt idx="145">
                  <c:v>116.78999999999999</c:v>
                </c:pt>
                <c:pt idx="146">
                  <c:v>116.895</c:v>
                </c:pt>
                <c:pt idx="147">
                  <c:v>117</c:v>
                </c:pt>
                <c:pt idx="148">
                  <c:v>117.10499999999999</c:v>
                </c:pt>
                <c:pt idx="149">
                  <c:v>117.21</c:v>
                </c:pt>
                <c:pt idx="150">
                  <c:v>117.315</c:v>
                </c:pt>
                <c:pt idx="151">
                  <c:v>117.41999999999999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813184"/>
        <c:axId val="671815904"/>
      </c:scatterChart>
      <c:valAx>
        <c:axId val="6718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15904"/>
        <c:crosses val="autoZero"/>
        <c:crossBetween val="midCat"/>
      </c:valAx>
      <c:valAx>
        <c:axId val="6718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71813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>
                <a:latin typeface="Times New Roman" panose="02020603050405020304" pitchFamily="18" charset="0"/>
                <a:cs typeface="Times New Roman" panose="02020603050405020304" pitchFamily="18" charset="0"/>
              </a:rPr>
              <a:t>Comparacion emisiones co2 eq</a:t>
            </a:r>
          </a:p>
        </c:rich>
      </c:tx>
      <c:layout>
        <c:manualLayout>
          <c:xMode val="edge"/>
          <c:yMode val="edge"/>
          <c:x val="0.1613123359580052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Emisiones!$B$3:$B$6</c:f>
              <c:strCache>
                <c:ptCount val="4"/>
                <c:pt idx="0">
                  <c:v>CCGT Nuevo</c:v>
                </c:pt>
                <c:pt idx="1">
                  <c:v>ISCC Nuevo</c:v>
                </c:pt>
                <c:pt idx="2">
                  <c:v>CCGT Sáuz</c:v>
                </c:pt>
                <c:pt idx="3">
                  <c:v>Acajutla Gas/Vapor (Actual)</c:v>
                </c:pt>
              </c:strCache>
            </c:strRef>
          </c:cat>
          <c:val>
            <c:numRef>
              <c:f>Emisiones!$C$3:$C$6</c:f>
              <c:numCache>
                <c:formatCode>General</c:formatCode>
                <c:ptCount val="4"/>
                <c:pt idx="0">
                  <c:v>393.2</c:v>
                </c:pt>
                <c:pt idx="1">
                  <c:v>373.2</c:v>
                </c:pt>
                <c:pt idx="2">
                  <c:v>438.6</c:v>
                </c:pt>
                <c:pt idx="3">
                  <c:v>800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1816448"/>
        <c:axId val="671807744"/>
      </c:barChart>
      <c:catAx>
        <c:axId val="67181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07744"/>
        <c:crosses val="autoZero"/>
        <c:auto val="1"/>
        <c:lblAlgn val="ctr"/>
        <c:lblOffset val="100"/>
        <c:noMultiLvlLbl val="0"/>
      </c:catAx>
      <c:valAx>
        <c:axId val="6718077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b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kg/MWh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1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Comparación!$B$4</c:f>
              <c:strCache>
                <c:ptCount val="1"/>
                <c:pt idx="0">
                  <c:v>VPN (2018) [USD]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5.0925337632079971E-17"/>
                  <c:y val="-6.9262175561388156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4.69889180519105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185067526415994E-16"/>
                  <c:y val="-4.69889180519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Comparación!$C$4:$E$4</c:f>
              <c:numCache>
                <c:formatCode>"$"#,##0_);[Red]\("$"#,##0\)</c:formatCode>
                <c:ptCount val="3"/>
                <c:pt idx="0">
                  <c:v>346312829.55097818</c:v>
                </c:pt>
                <c:pt idx="1">
                  <c:v>354000925.89072609</c:v>
                </c:pt>
                <c:pt idx="2">
                  <c:v>282118546.73412949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1816992"/>
        <c:axId val="671821344"/>
      </c:barChart>
      <c:catAx>
        <c:axId val="6718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21344"/>
        <c:crosses val="autoZero"/>
        <c:auto val="1"/>
        <c:lblAlgn val="ctr"/>
        <c:lblOffset val="100"/>
        <c:noMultiLvlLbl val="0"/>
      </c:catAx>
      <c:valAx>
        <c:axId val="671821344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1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Comparación!$B$5</c:f>
              <c:strCache>
                <c:ptCount val="1"/>
                <c:pt idx="0">
                  <c:v>AE [USD]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7777777777777779E-3"/>
                  <c:y val="-3.6803732866724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-8.31000291630217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185067526415994E-16"/>
                  <c:y val="9.49256342957087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Comparación!$C$5:$E$5</c:f>
              <c:numCache>
                <c:formatCode>"$"#,##0_);[Red]\("$"#,##0\)</c:formatCode>
                <c:ptCount val="3"/>
                <c:pt idx="0">
                  <c:v>48641966.732469179</c:v>
                </c:pt>
                <c:pt idx="1">
                  <c:v>49721811.585109808</c:v>
                </c:pt>
                <c:pt idx="2">
                  <c:v>39625447.843346626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1818624"/>
        <c:axId val="671812096"/>
      </c:barChart>
      <c:catAx>
        <c:axId val="67181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12096"/>
        <c:crosses val="autoZero"/>
        <c:auto val="1"/>
        <c:lblAlgn val="ctr"/>
        <c:lblOffset val="100"/>
        <c:noMultiLvlLbl val="0"/>
      </c:catAx>
      <c:valAx>
        <c:axId val="671812096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1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Comparación!$B$6</c:f>
              <c:strCache>
                <c:ptCount val="1"/>
                <c:pt idx="0">
                  <c:v>B/C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8.3333333333333332E-3"/>
                  <c:y val="-2.1759259259259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777777777777779E-3"/>
                  <c:y val="-6.8055555555555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2.4537037037037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Comparación!$C$6:$E$6</c:f>
              <c:numCache>
                <c:formatCode>0.00</c:formatCode>
                <c:ptCount val="3"/>
                <c:pt idx="0">
                  <c:v>2.8709000486757796</c:v>
                </c:pt>
                <c:pt idx="1">
                  <c:v>2.7562734491441843</c:v>
                </c:pt>
                <c:pt idx="2">
                  <c:v>2.8709000486757796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1807200"/>
        <c:axId val="673869680"/>
      </c:barChart>
      <c:catAx>
        <c:axId val="67180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69680"/>
        <c:crosses val="autoZero"/>
        <c:auto val="1"/>
        <c:lblAlgn val="ctr"/>
        <c:lblOffset val="100"/>
        <c:noMultiLvlLbl val="0"/>
      </c:catAx>
      <c:valAx>
        <c:axId val="673869680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180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Comparación!$B$7</c:f>
              <c:strCache>
                <c:ptCount val="1"/>
                <c:pt idx="0">
                  <c:v>TIR [%]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7777777777777523E-3"/>
                  <c:y val="7.0833333333333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7777777777777779E-3"/>
                  <c:y val="-2.17592592592592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6572E-3"/>
                  <c:y val="-6.8055555555555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Comparación!$C$2:$E$2</c:f>
              <c:strCache>
                <c:ptCount val="3"/>
                <c:pt idx="0">
                  <c:v>Opción 1</c:v>
                </c:pt>
                <c:pt idx="1">
                  <c:v>Opción 2</c:v>
                </c:pt>
                <c:pt idx="2">
                  <c:v>Opción 3</c:v>
                </c:pt>
              </c:strCache>
            </c:strRef>
          </c:cat>
          <c:val>
            <c:numRef>
              <c:f>Comparación!$C$7:$E$7</c:f>
              <c:numCache>
                <c:formatCode>0.00%</c:formatCode>
                <c:ptCount val="3"/>
                <c:pt idx="0">
                  <c:v>0.38759609306158271</c:v>
                </c:pt>
                <c:pt idx="1">
                  <c:v>0.37186416543416079</c:v>
                </c:pt>
                <c:pt idx="2">
                  <c:v>0.37699670832953092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73877840"/>
        <c:axId val="673875120"/>
      </c:barChart>
      <c:catAx>
        <c:axId val="67387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5120"/>
        <c:crosses val="autoZero"/>
        <c:auto val="1"/>
        <c:lblAlgn val="ctr"/>
        <c:lblOffset val="100"/>
        <c:noMultiLvlLbl val="0"/>
      </c:catAx>
      <c:valAx>
        <c:axId val="673875120"/>
        <c:scaling>
          <c:orientation val="minMax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67387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6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13" Type="http://schemas.openxmlformats.org/officeDocument/2006/relationships/chart" Target="../charts/chart18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12" Type="http://schemas.openxmlformats.org/officeDocument/2006/relationships/chart" Target="../charts/chart17.xml"/><Relationship Id="rId2" Type="http://schemas.openxmlformats.org/officeDocument/2006/relationships/chart" Target="../charts/chart7.xml"/><Relationship Id="rId16" Type="http://schemas.openxmlformats.org/officeDocument/2006/relationships/chart" Target="../charts/chart21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5" Type="http://schemas.openxmlformats.org/officeDocument/2006/relationships/chart" Target="../charts/chart2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Relationship Id="rId1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678656</xdr:colOff>
      <xdr:row>36</xdr:row>
      <xdr:rowOff>130968</xdr:rowOff>
    </xdr:from>
    <xdr:to>
      <xdr:col>17</xdr:col>
      <xdr:colOff>821531</xdr:colOff>
      <xdr:row>52</xdr:row>
      <xdr:rowOff>138792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9406" y="7941468"/>
          <a:ext cx="5107781" cy="3188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404812</xdr:colOff>
      <xdr:row>38</xdr:row>
      <xdr:rowOff>11905</xdr:rowOff>
    </xdr:from>
    <xdr:to>
      <xdr:col>16</xdr:col>
      <xdr:colOff>357187</xdr:colOff>
      <xdr:row>54</xdr:row>
      <xdr:rowOff>11792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1812" y="8417718"/>
          <a:ext cx="5107781" cy="319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309564</xdr:colOff>
      <xdr:row>3</xdr:row>
      <xdr:rowOff>11906</xdr:rowOff>
    </xdr:from>
    <xdr:to>
      <xdr:col>16</xdr:col>
      <xdr:colOff>633414</xdr:colOff>
      <xdr:row>3</xdr:row>
      <xdr:rowOff>192881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1064" y="1047750"/>
          <a:ext cx="323850" cy="1809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309565</xdr:colOff>
      <xdr:row>3</xdr:row>
      <xdr:rowOff>0</xdr:rowOff>
    </xdr:from>
    <xdr:to>
      <xdr:col>17</xdr:col>
      <xdr:colOff>642940</xdr:colOff>
      <xdr:row>3</xdr:row>
      <xdr:rowOff>200025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33096" y="1035844"/>
          <a:ext cx="3333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345282</xdr:colOff>
      <xdr:row>3</xdr:row>
      <xdr:rowOff>11906</xdr:rowOff>
    </xdr:from>
    <xdr:to>
      <xdr:col>18</xdr:col>
      <xdr:colOff>697707</xdr:colOff>
      <xdr:row>3</xdr:row>
      <xdr:rowOff>192881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688" y="1047750"/>
          <a:ext cx="3524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309565</xdr:colOff>
      <xdr:row>3</xdr:row>
      <xdr:rowOff>11906</xdr:rowOff>
    </xdr:from>
    <xdr:to>
      <xdr:col>17</xdr:col>
      <xdr:colOff>633415</xdr:colOff>
      <xdr:row>3</xdr:row>
      <xdr:rowOff>192881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3065" y="1054053"/>
          <a:ext cx="323850" cy="1809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18</xdr:col>
      <xdr:colOff>309563</xdr:colOff>
      <xdr:row>3</xdr:row>
      <xdr:rowOff>11206</xdr:rowOff>
    </xdr:from>
    <xdr:to>
      <xdr:col>18</xdr:col>
      <xdr:colOff>642938</xdr:colOff>
      <xdr:row>3</xdr:row>
      <xdr:rowOff>211231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4357" y="1053353"/>
          <a:ext cx="3333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289250</xdr:colOff>
      <xdr:row>3</xdr:row>
      <xdr:rowOff>11906</xdr:rowOff>
    </xdr:from>
    <xdr:to>
      <xdr:col>19</xdr:col>
      <xdr:colOff>641675</xdr:colOff>
      <xdr:row>3</xdr:row>
      <xdr:rowOff>192881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9309" y="1054053"/>
          <a:ext cx="3524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201708</xdr:colOff>
      <xdr:row>3</xdr:row>
      <xdr:rowOff>0</xdr:rowOff>
    </xdr:from>
    <xdr:to>
      <xdr:col>16</xdr:col>
      <xdr:colOff>535083</xdr:colOff>
      <xdr:row>3</xdr:row>
      <xdr:rowOff>180975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9237" y="1042147"/>
          <a:ext cx="3333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311263</xdr:colOff>
      <xdr:row>38</xdr:row>
      <xdr:rowOff>171790</xdr:rowOff>
    </xdr:from>
    <xdr:to>
      <xdr:col>16</xdr:col>
      <xdr:colOff>222817</xdr:colOff>
      <xdr:row>55</xdr:row>
      <xdr:rowOff>94571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951" y="8351384"/>
          <a:ext cx="5126491" cy="3185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309564</xdr:colOff>
      <xdr:row>3</xdr:row>
      <xdr:rowOff>11906</xdr:rowOff>
    </xdr:from>
    <xdr:to>
      <xdr:col>16</xdr:col>
      <xdr:colOff>633414</xdr:colOff>
      <xdr:row>3</xdr:row>
      <xdr:rowOff>192881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0539" y="1050131"/>
          <a:ext cx="323850" cy="18097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309565</xdr:colOff>
      <xdr:row>3</xdr:row>
      <xdr:rowOff>0</xdr:rowOff>
    </xdr:from>
    <xdr:to>
      <xdr:col>17</xdr:col>
      <xdr:colOff>642940</xdr:colOff>
      <xdr:row>3</xdr:row>
      <xdr:rowOff>200025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0190" y="1038225"/>
          <a:ext cx="3333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345282</xdr:colOff>
      <xdr:row>3</xdr:row>
      <xdr:rowOff>11906</xdr:rowOff>
    </xdr:from>
    <xdr:to>
      <xdr:col>18</xdr:col>
      <xdr:colOff>697707</xdr:colOff>
      <xdr:row>3</xdr:row>
      <xdr:rowOff>192881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0782" y="1050131"/>
          <a:ext cx="3524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609601</xdr:colOff>
      <xdr:row>58</xdr:row>
      <xdr:rowOff>2379</xdr:rowOff>
    </xdr:from>
    <xdr:to>
      <xdr:col>27</xdr:col>
      <xdr:colOff>609601</xdr:colOff>
      <xdr:row>72</xdr:row>
      <xdr:rowOff>78579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714376</xdr:colOff>
      <xdr:row>42</xdr:row>
      <xdr:rowOff>166686</xdr:rowOff>
    </xdr:from>
    <xdr:to>
      <xdr:col>33</xdr:col>
      <xdr:colOff>714376</xdr:colOff>
      <xdr:row>57</xdr:row>
      <xdr:rowOff>52386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600076</xdr:colOff>
      <xdr:row>42</xdr:row>
      <xdr:rowOff>154780</xdr:rowOff>
    </xdr:from>
    <xdr:to>
      <xdr:col>27</xdr:col>
      <xdr:colOff>600076</xdr:colOff>
      <xdr:row>57</xdr:row>
      <xdr:rowOff>40480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711995</xdr:colOff>
      <xdr:row>58</xdr:row>
      <xdr:rowOff>14286</xdr:rowOff>
    </xdr:from>
    <xdr:to>
      <xdr:col>33</xdr:col>
      <xdr:colOff>711995</xdr:colOff>
      <xdr:row>72</xdr:row>
      <xdr:rowOff>90486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25</xdr:col>
      <xdr:colOff>285750</xdr:colOff>
      <xdr:row>2</xdr:row>
      <xdr:rowOff>142876</xdr:rowOff>
    </xdr:from>
    <xdr:to>
      <xdr:col>33</xdr:col>
      <xdr:colOff>447675</xdr:colOff>
      <xdr:row>5</xdr:row>
      <xdr:rowOff>176213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88325" y="533401"/>
          <a:ext cx="6257925" cy="604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14287</xdr:rowOff>
    </xdr:from>
    <xdr:to>
      <xdr:col>4</xdr:col>
      <xdr:colOff>19050</xdr:colOff>
      <xdr:row>22</xdr:row>
      <xdr:rowOff>90487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466725</xdr:colOff>
      <xdr:row>1</xdr:row>
      <xdr:rowOff>133350</xdr:rowOff>
    </xdr:from>
    <xdr:to>
      <xdr:col>15</xdr:col>
      <xdr:colOff>114300</xdr:colOff>
      <xdr:row>25</xdr:row>
      <xdr:rowOff>161925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333375"/>
          <a:ext cx="7267575" cy="461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1</xdr:row>
      <xdr:rowOff>19050</xdr:rowOff>
    </xdr:from>
    <xdr:to>
      <xdr:col>11</xdr:col>
      <xdr:colOff>733425</xdr:colOff>
      <xdr:row>15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733425</xdr:colOff>
      <xdr:row>15</xdr:row>
      <xdr:rowOff>104775</xdr:rowOff>
    </xdr:from>
    <xdr:to>
      <xdr:col>11</xdr:col>
      <xdr:colOff>733425</xdr:colOff>
      <xdr:row>29</xdr:row>
      <xdr:rowOff>180975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733425</xdr:colOff>
      <xdr:row>30</xdr:row>
      <xdr:rowOff>0</xdr:rowOff>
    </xdr:from>
    <xdr:to>
      <xdr:col>11</xdr:col>
      <xdr:colOff>733425</xdr:colOff>
      <xdr:row>44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742950</xdr:colOff>
      <xdr:row>1</xdr:row>
      <xdr:rowOff>19050</xdr:rowOff>
    </xdr:from>
    <xdr:to>
      <xdr:col>17</xdr:col>
      <xdr:colOff>742950</xdr:colOff>
      <xdr:row>15</xdr:row>
      <xdr:rowOff>95250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742950</xdr:colOff>
      <xdr:row>15</xdr:row>
      <xdr:rowOff>104775</xdr:rowOff>
    </xdr:from>
    <xdr:to>
      <xdr:col>17</xdr:col>
      <xdr:colOff>742950</xdr:colOff>
      <xdr:row>29</xdr:row>
      <xdr:rowOff>180975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742950</xdr:colOff>
      <xdr:row>30</xdr:row>
      <xdr:rowOff>0</xdr:rowOff>
    </xdr:from>
    <xdr:to>
      <xdr:col>17</xdr:col>
      <xdr:colOff>742950</xdr:colOff>
      <xdr:row>44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732692</xdr:colOff>
      <xdr:row>44</xdr:row>
      <xdr:rowOff>85477</xdr:rowOff>
    </xdr:from>
    <xdr:to>
      <xdr:col>11</xdr:col>
      <xdr:colOff>732692</xdr:colOff>
      <xdr:row>58</xdr:row>
      <xdr:rowOff>161677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742217</xdr:colOff>
      <xdr:row>44</xdr:row>
      <xdr:rowOff>85477</xdr:rowOff>
    </xdr:from>
    <xdr:to>
      <xdr:col>17</xdr:col>
      <xdr:colOff>742217</xdr:colOff>
      <xdr:row>58</xdr:row>
      <xdr:rowOff>161677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1200830</xdr:colOff>
      <xdr:row>58</xdr:row>
      <xdr:rowOff>142191</xdr:rowOff>
    </xdr:from>
    <xdr:to>
      <xdr:col>29</xdr:col>
      <xdr:colOff>432026</xdr:colOff>
      <xdr:row>72</xdr:row>
      <xdr:rowOff>186641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1200830</xdr:colOff>
      <xdr:row>16</xdr:row>
      <xdr:rowOff>6122</xdr:rowOff>
    </xdr:from>
    <xdr:to>
      <xdr:col>29</xdr:col>
      <xdr:colOff>432026</xdr:colOff>
      <xdr:row>30</xdr:row>
      <xdr:rowOff>50572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1200831</xdr:colOff>
      <xdr:row>30</xdr:row>
      <xdr:rowOff>51478</xdr:rowOff>
    </xdr:from>
    <xdr:to>
      <xdr:col>29</xdr:col>
      <xdr:colOff>432027</xdr:colOff>
      <xdr:row>44</xdr:row>
      <xdr:rowOff>95928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1200831</xdr:colOff>
      <xdr:row>44</xdr:row>
      <xdr:rowOff>96837</xdr:rowOff>
    </xdr:from>
    <xdr:to>
      <xdr:col>29</xdr:col>
      <xdr:colOff>432027</xdr:colOff>
      <xdr:row>58</xdr:row>
      <xdr:rowOff>141287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441097</xdr:colOff>
      <xdr:row>16</xdr:row>
      <xdr:rowOff>6122</xdr:rowOff>
    </xdr:from>
    <xdr:to>
      <xdr:col>35</xdr:col>
      <xdr:colOff>454704</xdr:colOff>
      <xdr:row>30</xdr:row>
      <xdr:rowOff>50572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441096</xdr:colOff>
      <xdr:row>30</xdr:row>
      <xdr:rowOff>51479</xdr:rowOff>
    </xdr:from>
    <xdr:to>
      <xdr:col>35</xdr:col>
      <xdr:colOff>454703</xdr:colOff>
      <xdr:row>44</xdr:row>
      <xdr:rowOff>95929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441097</xdr:colOff>
      <xdr:row>44</xdr:row>
      <xdr:rowOff>96837</xdr:rowOff>
    </xdr:from>
    <xdr:to>
      <xdr:col>35</xdr:col>
      <xdr:colOff>454704</xdr:colOff>
      <xdr:row>58</xdr:row>
      <xdr:rowOff>141287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441097</xdr:colOff>
      <xdr:row>58</xdr:row>
      <xdr:rowOff>142195</xdr:rowOff>
    </xdr:from>
    <xdr:to>
      <xdr:col>35</xdr:col>
      <xdr:colOff>454704</xdr:colOff>
      <xdr:row>72</xdr:row>
      <xdr:rowOff>186645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S65"/>
  <sheetViews>
    <sheetView topLeftCell="O13" zoomScale="80" zoomScaleNormal="80" workbookViewId="0">
      <selection activeCell="T32" sqref="T32"/>
    </sheetView>
  </sheetViews>
  <sheetFormatPr baseColWidth="10" defaultRowHeight="15" x14ac:dyDescent="0.25"/>
  <cols>
    <col min="2" max="2" width="37.28515625" bestFit="1" customWidth="1"/>
    <col min="5" max="5" width="13.5703125" bestFit="1" customWidth="1"/>
    <col min="6" max="6" width="20.140625" bestFit="1" customWidth="1"/>
    <col min="7" max="7" width="15.28515625" bestFit="1" customWidth="1"/>
    <col min="8" max="8" width="14.5703125" bestFit="1" customWidth="1"/>
    <col min="11" max="12" width="14.42578125" customWidth="1"/>
    <col min="13" max="13" width="17.140625" customWidth="1"/>
    <col min="14" max="14" width="17" customWidth="1"/>
    <col min="15" max="15" width="19.5703125" bestFit="1" customWidth="1"/>
    <col min="16" max="16" width="19.5703125" customWidth="1"/>
    <col min="17" max="17" width="18.28515625" bestFit="1" customWidth="1"/>
    <col min="18" max="18" width="18.28515625" customWidth="1"/>
    <col min="19" max="19" width="21.28515625" bestFit="1" customWidth="1"/>
    <col min="20" max="20" width="21.28515625" customWidth="1"/>
    <col min="21" max="21" width="22.7109375" bestFit="1" customWidth="1"/>
    <col min="22" max="22" width="25.85546875" bestFit="1" customWidth="1"/>
    <col min="23" max="23" width="11" customWidth="1"/>
    <col min="24" max="24" width="11.5703125" bestFit="1" customWidth="1"/>
    <col min="25" max="25" width="15.28515625" customWidth="1"/>
    <col min="26" max="26" width="16" customWidth="1"/>
    <col min="27" max="27" width="15.7109375" customWidth="1"/>
    <col min="28" max="28" width="14.7109375" customWidth="1"/>
    <col min="29" max="29" width="13.7109375" customWidth="1"/>
    <col min="30" max="30" width="17.42578125" customWidth="1"/>
    <col min="31" max="31" width="15.28515625" customWidth="1"/>
    <col min="32" max="32" width="15.7109375" customWidth="1"/>
    <col min="33" max="33" width="14.140625" customWidth="1"/>
    <col min="34" max="34" width="17.5703125" customWidth="1"/>
    <col min="35" max="35" width="15.28515625" customWidth="1"/>
    <col min="36" max="36" width="15" customWidth="1"/>
    <col min="37" max="37" width="16" customWidth="1"/>
    <col min="38" max="38" width="16.7109375" customWidth="1"/>
    <col min="39" max="39" width="14.85546875" bestFit="1" customWidth="1"/>
    <col min="40" max="40" width="15.7109375" bestFit="1" customWidth="1"/>
    <col min="41" max="41" width="16.28515625" customWidth="1"/>
    <col min="42" max="42" width="14.42578125" bestFit="1" customWidth="1"/>
    <col min="43" max="43" width="17.140625" customWidth="1"/>
    <col min="44" max="44" width="12.85546875" bestFit="1" customWidth="1"/>
    <col min="45" max="45" width="16.85546875" customWidth="1"/>
    <col min="46" max="46" width="18.42578125" customWidth="1"/>
    <col min="47" max="47" width="18.7109375" customWidth="1"/>
    <col min="48" max="50" width="14.42578125" bestFit="1" customWidth="1"/>
    <col min="51" max="51" width="15.85546875" customWidth="1"/>
    <col min="52" max="53" width="14.85546875" bestFit="1" customWidth="1"/>
    <col min="54" max="54" width="15.7109375" bestFit="1" customWidth="1"/>
  </cols>
  <sheetData>
    <row r="1" spans="1:4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45" ht="21" customHeight="1" thickBot="1" x14ac:dyDescent="0.35">
      <c r="A2" s="1"/>
      <c r="B2" s="2"/>
      <c r="C2" s="743"/>
      <c r="D2" s="743"/>
      <c r="E2" s="3"/>
      <c r="F2" s="4"/>
      <c r="G2" s="4"/>
      <c r="H2" s="1"/>
      <c r="I2" s="1"/>
      <c r="J2" s="1"/>
      <c r="K2" s="1"/>
      <c r="L2" s="1"/>
      <c r="M2" s="314"/>
      <c r="N2" s="1"/>
      <c r="O2" s="1"/>
      <c r="P2" s="1"/>
      <c r="Q2" s="331">
        <f>$E$4*$C$23</f>
        <v>4611376.7235053647</v>
      </c>
      <c r="R2" s="1"/>
      <c r="S2" s="1"/>
      <c r="T2" s="1"/>
      <c r="U2" s="1">
        <f>Q2/U6</f>
        <v>6.5956480004141116E-2</v>
      </c>
      <c r="X2" s="766" t="s">
        <v>7</v>
      </c>
      <c r="Y2" s="768" t="s">
        <v>133</v>
      </c>
      <c r="Z2" s="770" t="s">
        <v>134</v>
      </c>
      <c r="AA2" s="772" t="s">
        <v>135</v>
      </c>
      <c r="AB2" s="776" t="s">
        <v>136</v>
      </c>
      <c r="AC2" s="777"/>
      <c r="AD2" s="772" t="s">
        <v>139</v>
      </c>
      <c r="AE2" s="778" t="s">
        <v>147</v>
      </c>
      <c r="AF2" s="778" t="s">
        <v>152</v>
      </c>
      <c r="AG2" s="780" t="s">
        <v>153</v>
      </c>
      <c r="AH2" s="778" t="s">
        <v>139</v>
      </c>
      <c r="AI2" s="778" t="s">
        <v>154</v>
      </c>
      <c r="AJ2" s="778" t="s">
        <v>155</v>
      </c>
      <c r="AK2" s="778" t="s">
        <v>156</v>
      </c>
      <c r="AO2" s="754" t="s">
        <v>164</v>
      </c>
      <c r="AP2" s="755"/>
      <c r="AQ2" s="755"/>
      <c r="AR2" s="755"/>
      <c r="AS2" s="756"/>
    </row>
    <row r="3" spans="1:45" ht="45.75" customHeight="1" thickBot="1" x14ac:dyDescent="0.3">
      <c r="A3" s="1"/>
      <c r="B3" s="52" t="s">
        <v>0</v>
      </c>
      <c r="C3" s="5"/>
      <c r="D3" s="6"/>
      <c r="E3" s="53" t="s">
        <v>3</v>
      </c>
      <c r="F3" s="46"/>
      <c r="G3" s="46"/>
      <c r="H3" s="1"/>
      <c r="I3" s="1"/>
      <c r="J3" s="746" t="s">
        <v>7</v>
      </c>
      <c r="K3" s="744" t="s">
        <v>8</v>
      </c>
      <c r="L3" s="750" t="s">
        <v>21</v>
      </c>
      <c r="M3" s="748" t="s">
        <v>19</v>
      </c>
      <c r="N3" s="774" t="s">
        <v>9</v>
      </c>
      <c r="O3" s="757" t="s">
        <v>24</v>
      </c>
      <c r="P3" s="758"/>
      <c r="Q3" s="758"/>
      <c r="R3" s="758"/>
      <c r="S3" s="758"/>
      <c r="T3" s="758"/>
      <c r="U3" s="758"/>
      <c r="V3" s="759"/>
      <c r="X3" s="767"/>
      <c r="Y3" s="769"/>
      <c r="Z3" s="771"/>
      <c r="AA3" s="773"/>
      <c r="AB3" s="245" t="s">
        <v>137</v>
      </c>
      <c r="AC3" s="246" t="s">
        <v>138</v>
      </c>
      <c r="AD3" s="773"/>
      <c r="AE3" s="779"/>
      <c r="AF3" s="779"/>
      <c r="AG3" s="781"/>
      <c r="AH3" s="779"/>
      <c r="AI3" s="779"/>
      <c r="AJ3" s="779"/>
      <c r="AK3" s="779"/>
      <c r="AO3" s="268" t="s">
        <v>22</v>
      </c>
      <c r="AP3" s="262" t="s">
        <v>148</v>
      </c>
      <c r="AQ3" s="262" t="s">
        <v>149</v>
      </c>
      <c r="AR3" s="265"/>
      <c r="AS3" s="263" t="s">
        <v>152</v>
      </c>
    </row>
    <row r="4" spans="1:45" ht="16.5" customHeight="1" thickBot="1" x14ac:dyDescent="0.3">
      <c r="A4" s="1"/>
      <c r="B4" s="7" t="s">
        <v>1</v>
      </c>
      <c r="C4" s="8"/>
      <c r="D4" s="9"/>
      <c r="E4" s="13">
        <v>163.566</v>
      </c>
      <c r="F4" s="47"/>
      <c r="G4" s="47"/>
      <c r="H4" s="1"/>
      <c r="I4" s="1"/>
      <c r="J4" s="747"/>
      <c r="K4" s="745"/>
      <c r="L4" s="751"/>
      <c r="M4" s="749"/>
      <c r="N4" s="775"/>
      <c r="O4" s="10" t="s">
        <v>117</v>
      </c>
      <c r="P4" s="10" t="s">
        <v>115</v>
      </c>
      <c r="Q4" s="10" t="s">
        <v>10</v>
      </c>
      <c r="R4" s="10" t="s">
        <v>68</v>
      </c>
      <c r="S4" s="10" t="s">
        <v>11</v>
      </c>
      <c r="T4" s="10" t="s">
        <v>23</v>
      </c>
      <c r="U4" s="10" t="s">
        <v>46</v>
      </c>
      <c r="V4" s="11" t="s">
        <v>55</v>
      </c>
      <c r="X4" s="255">
        <v>0</v>
      </c>
      <c r="Y4" s="247"/>
      <c r="Z4" s="225"/>
      <c r="AA4" s="254">
        <f>Y4-Z4</f>
        <v>0</v>
      </c>
      <c r="AB4" s="242"/>
      <c r="AC4" s="243"/>
      <c r="AD4" s="244">
        <f>AB4+AC4</f>
        <v>0</v>
      </c>
      <c r="AE4" s="252"/>
      <c r="AF4" s="252">
        <f t="shared" ref="AF4:AF21" si="0">AS4</f>
        <v>0</v>
      </c>
      <c r="AG4" s="252">
        <f>AE4-AF4</f>
        <v>0</v>
      </c>
      <c r="AH4" s="252"/>
      <c r="AI4" s="252">
        <f>-U5/1000</f>
        <v>185104.93374357329</v>
      </c>
      <c r="AJ4" s="252">
        <f>AG4+AH4-AI4</f>
        <v>-185104.93374357329</v>
      </c>
      <c r="AK4" s="252">
        <f>AJ4</f>
        <v>-185104.93374357329</v>
      </c>
      <c r="AO4" s="255">
        <v>0</v>
      </c>
      <c r="AP4" s="161"/>
      <c r="AQ4" s="161"/>
      <c r="AR4" s="266">
        <f>IF(AQ4&gt;0,1,0)</f>
        <v>0</v>
      </c>
      <c r="AS4" s="254">
        <f t="shared" ref="AS4:AS21" si="1">MIN(AP4:AQ4)*AR4*$S$60</f>
        <v>0</v>
      </c>
    </row>
    <row r="5" spans="1:45" ht="16.5" customHeight="1" thickBot="1" x14ac:dyDescent="0.3">
      <c r="A5" s="1"/>
      <c r="B5" s="7" t="s">
        <v>2</v>
      </c>
      <c r="C5" s="8"/>
      <c r="D5" s="9"/>
      <c r="E5" s="12">
        <v>158.821</v>
      </c>
      <c r="F5" s="47"/>
      <c r="G5" s="47"/>
      <c r="H5" s="1"/>
      <c r="I5" s="1"/>
      <c r="J5" s="62">
        <v>2018</v>
      </c>
      <c r="K5" s="65"/>
      <c r="L5" s="65"/>
      <c r="M5" s="61"/>
      <c r="N5" s="65"/>
      <c r="O5" s="62"/>
      <c r="P5" s="62"/>
      <c r="Q5" s="62"/>
      <c r="R5" s="62"/>
      <c r="S5" s="62"/>
      <c r="T5" s="71">
        <f>-E4*C25*1000</f>
        <v>-185104933.74357328</v>
      </c>
      <c r="U5" s="72">
        <f>T5</f>
        <v>-185104933.74357328</v>
      </c>
      <c r="V5" s="14">
        <f>U5</f>
        <v>-185104933.74357328</v>
      </c>
      <c r="X5" s="255">
        <v>1</v>
      </c>
      <c r="Y5" s="248">
        <f>(O6+P6)/1000</f>
        <v>163621.11389718551</v>
      </c>
      <c r="Z5" s="169">
        <f>(Q6+R6+S6)/1000</f>
        <v>93705.667784599776</v>
      </c>
      <c r="AA5" s="244">
        <f>Y5-Z5</f>
        <v>69915.446112585734</v>
      </c>
      <c r="AB5" s="242">
        <f>U57</f>
        <v>14623.289765742291</v>
      </c>
      <c r="AC5" s="243">
        <f>U58</f>
        <v>1943.6018043075194</v>
      </c>
      <c r="AD5" s="244">
        <f>AB5+AC5</f>
        <v>16566.891570049811</v>
      </c>
      <c r="AE5" s="252">
        <f>AA5-AD5</f>
        <v>53348.554542535923</v>
      </c>
      <c r="AF5" s="252">
        <f t="shared" si="0"/>
        <v>16004.566362760776</v>
      </c>
      <c r="AG5" s="252">
        <f>AE5-AF5</f>
        <v>37343.988179775144</v>
      </c>
      <c r="AH5" s="252">
        <f>AD5</f>
        <v>16566.891570049811</v>
      </c>
      <c r="AI5" s="255"/>
      <c r="AJ5" s="252">
        <f t="shared" ref="AJ5:AJ21" si="2">AG5+AH5+AI5</f>
        <v>53910.879749824955</v>
      </c>
      <c r="AK5" s="252">
        <f>AK4+AJ5</f>
        <v>-131194.05399374833</v>
      </c>
      <c r="AO5" s="255">
        <v>1</v>
      </c>
      <c r="AP5" s="243">
        <f t="shared" ref="AP5:AP21" si="3">AE5</f>
        <v>53348.554542535923</v>
      </c>
      <c r="AQ5" s="243">
        <f>AP5+AQ4</f>
        <v>53348.554542535923</v>
      </c>
      <c r="AR5" s="266">
        <f t="shared" ref="AR5:AR21" si="4">IF(AQ5&gt;0,1,0)</f>
        <v>1</v>
      </c>
      <c r="AS5" s="254">
        <f t="shared" si="1"/>
        <v>16004.566362760776</v>
      </c>
    </row>
    <row r="6" spans="1:45" ht="16.5" thickBot="1" x14ac:dyDescent="0.3">
      <c r="A6" s="1"/>
      <c r="B6" s="7" t="s">
        <v>4</v>
      </c>
      <c r="C6" s="8"/>
      <c r="D6" s="9"/>
      <c r="E6" s="106">
        <v>0.9</v>
      </c>
      <c r="F6" s="47"/>
      <c r="G6" s="47"/>
      <c r="H6" s="1"/>
      <c r="I6" s="1"/>
      <c r="J6" s="15">
        <v>2019</v>
      </c>
      <c r="K6" s="63">
        <f>E6</f>
        <v>0.9</v>
      </c>
      <c r="L6" s="64">
        <f t="shared" ref="L6:L22" si="5">$E$4*K6*$E$11</f>
        <v>1289554.344</v>
      </c>
      <c r="M6" s="66">
        <f t="shared" ref="M6:M22" si="6">$E$5*$E$11*K6</f>
        <v>1252144.764</v>
      </c>
      <c r="N6" s="18">
        <f>E9</f>
        <v>7159</v>
      </c>
      <c r="O6" s="331">
        <f>M6*B31</f>
        <v>150242032.85718551</v>
      </c>
      <c r="P6" s="418">
        <f>$E$5*K6*1000*$C$26*12</f>
        <v>13379081.039999999</v>
      </c>
      <c r="Q6" s="331">
        <f>$E$4*$C$23+L6*$C$24</f>
        <v>10952800.08876534</v>
      </c>
      <c r="R6" s="331">
        <f t="shared" ref="R6:R22" si="7">($E$16*$E$15*K6*$E$11/1000)+($E$17*$E$18*K6*$E$11/1000)</f>
        <v>6976392.9767582417</v>
      </c>
      <c r="S6" s="331">
        <f t="shared" ref="S6:S22" si="8">N6*L6*1000*G26</f>
        <v>75776474.719076201</v>
      </c>
      <c r="T6" s="331" t="s">
        <v>47</v>
      </c>
      <c r="U6" s="333">
        <f>O6+P6-Q6-R6-S6</f>
        <v>69915446.112585708</v>
      </c>
      <c r="V6" s="333">
        <f>V5+U6</f>
        <v>-115189487.63098757</v>
      </c>
      <c r="X6" s="255">
        <v>2</v>
      </c>
      <c r="Y6" s="248">
        <f t="shared" ref="Y6:Y21" si="9">(O7+P7)/1000</f>
        <v>168767.38279887434</v>
      </c>
      <c r="Z6" s="169">
        <f t="shared" ref="Z6:Z21" si="10">(Q7+R7+S7)/1000</f>
        <v>98081.811414851691</v>
      </c>
      <c r="AA6" s="244">
        <f t="shared" ref="AA6:AA21" si="11">Y6-Z6</f>
        <v>70685.571384022653</v>
      </c>
      <c r="AB6" s="242">
        <f>AB5</f>
        <v>14623.289765742291</v>
      </c>
      <c r="AC6" s="243">
        <f>AC5</f>
        <v>1943.6018043075194</v>
      </c>
      <c r="AD6" s="244">
        <f t="shared" ref="AD6:AD21" si="12">AB6+AC6</f>
        <v>16566.891570049811</v>
      </c>
      <c r="AE6" s="252">
        <f t="shared" ref="AE6:AE21" si="13">AA6-AD6</f>
        <v>54118.679813972842</v>
      </c>
      <c r="AF6" s="252">
        <f t="shared" si="0"/>
        <v>16235.603944191851</v>
      </c>
      <c r="AG6" s="252">
        <f t="shared" ref="AG6:AG21" si="14">AE6-AF6</f>
        <v>37883.075869780994</v>
      </c>
      <c r="AH6" s="252">
        <f t="shared" ref="AH6:AH21" si="15">AD6</f>
        <v>16566.891570049811</v>
      </c>
      <c r="AI6" s="255"/>
      <c r="AJ6" s="252">
        <f t="shared" si="2"/>
        <v>54449.967439830805</v>
      </c>
      <c r="AK6" s="252">
        <f t="shared" ref="AK6:AK21" si="16">AK5+AJ6</f>
        <v>-76744.086553917528</v>
      </c>
      <c r="AO6" s="255">
        <v>2</v>
      </c>
      <c r="AP6" s="243">
        <f t="shared" si="3"/>
        <v>54118.679813972842</v>
      </c>
      <c r="AQ6" s="243">
        <f t="shared" ref="AQ6:AQ21" si="17">AP6+AQ5</f>
        <v>107467.23435650876</v>
      </c>
      <c r="AR6" s="266">
        <f t="shared" si="4"/>
        <v>1</v>
      </c>
      <c r="AS6" s="254">
        <f t="shared" si="1"/>
        <v>16235.603944191851</v>
      </c>
    </row>
    <row r="7" spans="1:45" ht="16.5" thickBot="1" x14ac:dyDescent="0.3">
      <c r="A7" s="1"/>
      <c r="B7" s="7" t="s">
        <v>5</v>
      </c>
      <c r="C7" s="8"/>
      <c r="D7" s="9"/>
      <c r="E7" s="49">
        <v>0.51849999999999996</v>
      </c>
      <c r="F7" s="47"/>
      <c r="G7" s="47"/>
      <c r="H7" s="1"/>
      <c r="I7" s="1"/>
      <c r="J7" s="15">
        <v>2020</v>
      </c>
      <c r="K7" s="16">
        <f t="shared" ref="K7:K22" si="18">K6*(1-$E$13)</f>
        <v>0.89549999999999996</v>
      </c>
      <c r="L7" s="17">
        <f t="shared" si="5"/>
        <v>1283106.57228</v>
      </c>
      <c r="M7" s="66">
        <f t="shared" si="6"/>
        <v>1245884.04018</v>
      </c>
      <c r="N7" s="18">
        <f t="shared" ref="N7:N22" si="19">N6*(1+$E$12)</f>
        <v>7169.7385000000004</v>
      </c>
      <c r="O7" s="331">
        <f t="shared" ref="O7:O22" si="20">M7*B32</f>
        <v>155455197.16407436</v>
      </c>
      <c r="P7" s="418">
        <f t="shared" ref="P7:P22" si="21">$E$5*K7*1000*$C$26*12</f>
        <v>13312185.634799998</v>
      </c>
      <c r="Q7" s="331">
        <f t="shared" ref="Q7:Q22" si="22">$E$4*$C$23+L7*$C$24</f>
        <v>10921092.971939038</v>
      </c>
      <c r="R7" s="331">
        <f t="shared" si="7"/>
        <v>6941511.0118744494</v>
      </c>
      <c r="S7" s="331">
        <f t="shared" si="8"/>
        <v>80219207.431038216</v>
      </c>
      <c r="T7" s="331" t="s">
        <v>47</v>
      </c>
      <c r="U7" s="333">
        <f t="shared" ref="U7:U22" si="23">O7+P7-Q7-R7-S7</f>
        <v>70685571.384022668</v>
      </c>
      <c r="V7" s="333">
        <f t="shared" ref="V7:V22" si="24">V6+U7</f>
        <v>-44503916.246964902</v>
      </c>
      <c r="X7" s="255">
        <v>3</v>
      </c>
      <c r="Y7" s="248">
        <f t="shared" si="9"/>
        <v>172790.34945674308</v>
      </c>
      <c r="Z7" s="169">
        <f t="shared" si="10"/>
        <v>101296.6335617466</v>
      </c>
      <c r="AA7" s="244">
        <f t="shared" si="11"/>
        <v>71493.71589499648</v>
      </c>
      <c r="AB7" s="242">
        <f t="shared" ref="AB7:AC21" si="25">AB6</f>
        <v>14623.289765742291</v>
      </c>
      <c r="AC7" s="243">
        <f t="shared" si="25"/>
        <v>1943.6018043075194</v>
      </c>
      <c r="AD7" s="244">
        <f t="shared" si="12"/>
        <v>16566.891570049811</v>
      </c>
      <c r="AE7" s="252">
        <f t="shared" si="13"/>
        <v>54926.824324946669</v>
      </c>
      <c r="AF7" s="252">
        <f t="shared" si="0"/>
        <v>16478.047297484001</v>
      </c>
      <c r="AG7" s="252">
        <f t="shared" si="14"/>
        <v>38448.777027462667</v>
      </c>
      <c r="AH7" s="252">
        <f t="shared" si="15"/>
        <v>16566.891570049811</v>
      </c>
      <c r="AI7" s="255"/>
      <c r="AJ7" s="252">
        <f t="shared" si="2"/>
        <v>55015.668597512478</v>
      </c>
      <c r="AK7" s="252">
        <f t="shared" si="16"/>
        <v>-21728.41795640505</v>
      </c>
      <c r="AO7" s="255">
        <v>3</v>
      </c>
      <c r="AP7" s="243">
        <f t="shared" si="3"/>
        <v>54926.824324946669</v>
      </c>
      <c r="AQ7" s="243">
        <f t="shared" si="17"/>
        <v>162394.05868145544</v>
      </c>
      <c r="AR7" s="266">
        <f t="shared" si="4"/>
        <v>1</v>
      </c>
      <c r="AS7" s="254">
        <f t="shared" si="1"/>
        <v>16478.047297484001</v>
      </c>
    </row>
    <row r="8" spans="1:45" ht="16.5" customHeight="1" thickBot="1" x14ac:dyDescent="0.3">
      <c r="A8" s="1"/>
      <c r="B8" s="7" t="s">
        <v>6</v>
      </c>
      <c r="C8" s="8"/>
      <c r="D8" s="9"/>
      <c r="E8" s="50">
        <f>(E4-E5)/E4</f>
        <v>2.900969639167067E-2</v>
      </c>
      <c r="F8" s="47"/>
      <c r="G8" s="47"/>
      <c r="H8" s="1"/>
      <c r="I8" s="1"/>
      <c r="J8" s="15">
        <v>2021</v>
      </c>
      <c r="K8" s="16">
        <f>K7*(1-$E$13)</f>
        <v>0.89102249999999994</v>
      </c>
      <c r="L8" s="17">
        <f t="shared" si="5"/>
        <v>1276691.0394185998</v>
      </c>
      <c r="M8" s="66">
        <f t="shared" si="6"/>
        <v>1239654.6199790998</v>
      </c>
      <c r="N8" s="18">
        <f t="shared" si="19"/>
        <v>7180.4931077500005</v>
      </c>
      <c r="O8" s="331">
        <f t="shared" si="20"/>
        <v>159544724.75011706</v>
      </c>
      <c r="P8" s="418">
        <f t="shared" si="21"/>
        <v>13245624.706625998</v>
      </c>
      <c r="Q8" s="331">
        <f t="shared" si="22"/>
        <v>10889544.39069687</v>
      </c>
      <c r="R8" s="331">
        <f t="shared" si="7"/>
        <v>6906803.456815077</v>
      </c>
      <c r="S8" s="331">
        <f t="shared" si="8"/>
        <v>83500285.71423465</v>
      </c>
      <c r="T8" s="331" t="s">
        <v>47</v>
      </c>
      <c r="U8" s="333">
        <f t="shared" si="23"/>
        <v>71493715.894996464</v>
      </c>
      <c r="V8" s="333">
        <f t="shared" si="24"/>
        <v>26989799.648031563</v>
      </c>
      <c r="X8" s="281">
        <v>4</v>
      </c>
      <c r="Y8" s="248">
        <f t="shared" si="9"/>
        <v>176041.71474689301</v>
      </c>
      <c r="Z8" s="169">
        <f t="shared" si="10"/>
        <v>103708.52559632204</v>
      </c>
      <c r="AA8" s="244">
        <f t="shared" si="11"/>
        <v>72333.189150570965</v>
      </c>
      <c r="AB8" s="242">
        <f t="shared" si="25"/>
        <v>14623.289765742291</v>
      </c>
      <c r="AC8" s="243">
        <f t="shared" si="25"/>
        <v>1943.6018043075194</v>
      </c>
      <c r="AD8" s="244">
        <f t="shared" si="12"/>
        <v>16566.891570049811</v>
      </c>
      <c r="AE8" s="252">
        <f t="shared" si="13"/>
        <v>55766.297580521154</v>
      </c>
      <c r="AF8" s="252">
        <f t="shared" si="0"/>
        <v>16729.889274156347</v>
      </c>
      <c r="AG8" s="252">
        <f t="shared" si="14"/>
        <v>39036.408306364807</v>
      </c>
      <c r="AH8" s="252">
        <f t="shared" si="15"/>
        <v>16566.891570049811</v>
      </c>
      <c r="AI8" s="255"/>
      <c r="AJ8" s="252">
        <f t="shared" si="2"/>
        <v>55603.299876414618</v>
      </c>
      <c r="AK8" s="252">
        <f t="shared" si="16"/>
        <v>33874.881920009568</v>
      </c>
      <c r="AO8" s="255">
        <v>4</v>
      </c>
      <c r="AP8" s="243">
        <f t="shared" si="3"/>
        <v>55766.297580521154</v>
      </c>
      <c r="AQ8" s="243">
        <f t="shared" si="17"/>
        <v>218160.35626197659</v>
      </c>
      <c r="AR8" s="266">
        <f t="shared" si="4"/>
        <v>1</v>
      </c>
      <c r="AS8" s="254">
        <f t="shared" si="1"/>
        <v>16729.889274156347</v>
      </c>
    </row>
    <row r="9" spans="1:45" ht="16.5" customHeight="1" thickBot="1" x14ac:dyDescent="0.3">
      <c r="A9" s="1"/>
      <c r="B9" s="7" t="s">
        <v>70</v>
      </c>
      <c r="C9" s="8"/>
      <c r="D9" s="9"/>
      <c r="E9" s="97">
        <v>7159</v>
      </c>
      <c r="F9" s="47"/>
      <c r="G9" s="47"/>
      <c r="H9" s="1"/>
      <c r="I9" s="1"/>
      <c r="J9" s="15">
        <v>2022</v>
      </c>
      <c r="K9" s="16">
        <f t="shared" si="18"/>
        <v>0.88656738749999997</v>
      </c>
      <c r="L9" s="17">
        <f t="shared" si="5"/>
        <v>1270307.584221507</v>
      </c>
      <c r="M9" s="66">
        <f t="shared" si="6"/>
        <v>1233456.3468792045</v>
      </c>
      <c r="N9" s="18">
        <f t="shared" si="19"/>
        <v>7191.2638474116256</v>
      </c>
      <c r="O9" s="331">
        <f t="shared" si="20"/>
        <v>162862318.16380015</v>
      </c>
      <c r="P9" s="418">
        <f t="shared" si="21"/>
        <v>13179396.583092868</v>
      </c>
      <c r="Q9" s="331">
        <f t="shared" si="22"/>
        <v>10858153.552360915</v>
      </c>
      <c r="R9" s="331">
        <f t="shared" si="7"/>
        <v>6872269.4395310031</v>
      </c>
      <c r="S9" s="331">
        <f t="shared" si="8"/>
        <v>85978102.604430124</v>
      </c>
      <c r="T9" s="331" t="s">
        <v>47</v>
      </c>
      <c r="U9" s="333">
        <f t="shared" si="23"/>
        <v>72333189.150570974</v>
      </c>
      <c r="V9" s="333">
        <f t="shared" si="24"/>
        <v>99322988.798602536</v>
      </c>
      <c r="X9" s="281">
        <v>5</v>
      </c>
      <c r="Y9" s="248">
        <f t="shared" si="9"/>
        <v>178200.10628587767</v>
      </c>
      <c r="Z9" s="169">
        <f t="shared" si="10"/>
        <v>104980.69163009642</v>
      </c>
      <c r="AA9" s="244">
        <f t="shared" si="11"/>
        <v>73219.414655781249</v>
      </c>
      <c r="AB9" s="242">
        <f t="shared" si="25"/>
        <v>14623.289765742291</v>
      </c>
      <c r="AC9" s="243">
        <f t="shared" si="25"/>
        <v>1943.6018043075194</v>
      </c>
      <c r="AD9" s="244">
        <f t="shared" si="12"/>
        <v>16566.891570049811</v>
      </c>
      <c r="AE9" s="252">
        <f t="shared" si="13"/>
        <v>56652.523085731438</v>
      </c>
      <c r="AF9" s="252">
        <f t="shared" si="0"/>
        <v>16995.75692571943</v>
      </c>
      <c r="AG9" s="252">
        <f t="shared" si="14"/>
        <v>39656.766160012005</v>
      </c>
      <c r="AH9" s="252">
        <f t="shared" si="15"/>
        <v>16566.891570049811</v>
      </c>
      <c r="AI9" s="255"/>
      <c r="AJ9" s="252">
        <f t="shared" si="2"/>
        <v>56223.657730061816</v>
      </c>
      <c r="AK9" s="252">
        <f t="shared" si="16"/>
        <v>90098.539650071383</v>
      </c>
      <c r="AO9" s="255">
        <v>5</v>
      </c>
      <c r="AP9" s="243">
        <f t="shared" si="3"/>
        <v>56652.523085731438</v>
      </c>
      <c r="AQ9" s="243">
        <f t="shared" si="17"/>
        <v>274812.87934770802</v>
      </c>
      <c r="AR9" s="266">
        <f t="shared" si="4"/>
        <v>1</v>
      </c>
      <c r="AS9" s="254">
        <f t="shared" si="1"/>
        <v>16995.75692571943</v>
      </c>
    </row>
    <row r="10" spans="1:45" ht="16.5" customHeight="1" thickBot="1" x14ac:dyDescent="0.3">
      <c r="A10" s="1"/>
      <c r="B10" s="7" t="s">
        <v>27</v>
      </c>
      <c r="C10" s="20"/>
      <c r="D10" s="21"/>
      <c r="E10" s="96">
        <v>45678.7</v>
      </c>
      <c r="F10" s="47"/>
      <c r="G10" s="47"/>
      <c r="H10" s="1"/>
      <c r="I10" s="1"/>
      <c r="J10" s="15">
        <v>2023</v>
      </c>
      <c r="K10" s="16">
        <f t="shared" si="18"/>
        <v>0.88213455056250001</v>
      </c>
      <c r="L10" s="17">
        <f t="shared" si="5"/>
        <v>1263956.0463003994</v>
      </c>
      <c r="M10" s="66">
        <f t="shared" si="6"/>
        <v>1227289.0651448085</v>
      </c>
      <c r="N10" s="18">
        <f t="shared" si="19"/>
        <v>7202.0507431827436</v>
      </c>
      <c r="O10" s="331">
        <f t="shared" si="20"/>
        <v>165086606.68570027</v>
      </c>
      <c r="P10" s="418">
        <f t="shared" si="21"/>
        <v>13113499.600177405</v>
      </c>
      <c r="Q10" s="331">
        <f t="shared" si="22"/>
        <v>10826919.668216635</v>
      </c>
      <c r="R10" s="331">
        <f t="shared" si="7"/>
        <v>6837908.0923333475</v>
      </c>
      <c r="S10" s="331">
        <f t="shared" si="8"/>
        <v>87315863.869546443</v>
      </c>
      <c r="T10" s="331" t="s">
        <v>47</v>
      </c>
      <c r="U10" s="333">
        <f t="shared" si="23"/>
        <v>73219414.655781239</v>
      </c>
      <c r="V10" s="333">
        <f t="shared" si="24"/>
        <v>172542403.45438379</v>
      </c>
      <c r="X10" s="255">
        <v>6</v>
      </c>
      <c r="Y10" s="248">
        <f t="shared" si="9"/>
        <v>180276.46746583609</v>
      </c>
      <c r="Z10" s="169">
        <f t="shared" si="10"/>
        <v>106156.76562526078</v>
      </c>
      <c r="AA10" s="244">
        <f t="shared" si="11"/>
        <v>74119.701840575304</v>
      </c>
      <c r="AB10" s="242">
        <f t="shared" si="25"/>
        <v>14623.289765742291</v>
      </c>
      <c r="AC10" s="243">
        <f t="shared" si="25"/>
        <v>1943.6018043075194</v>
      </c>
      <c r="AD10" s="244">
        <f t="shared" si="12"/>
        <v>16566.891570049811</v>
      </c>
      <c r="AE10" s="252">
        <f t="shared" si="13"/>
        <v>57552.810270525493</v>
      </c>
      <c r="AF10" s="252">
        <f t="shared" si="0"/>
        <v>17265.843081157647</v>
      </c>
      <c r="AG10" s="252">
        <f t="shared" si="14"/>
        <v>40286.967189367846</v>
      </c>
      <c r="AH10" s="252">
        <f t="shared" si="15"/>
        <v>16566.891570049811</v>
      </c>
      <c r="AI10" s="255"/>
      <c r="AJ10" s="252">
        <f t="shared" si="2"/>
        <v>56853.858759417657</v>
      </c>
      <c r="AK10" s="252">
        <f t="shared" si="16"/>
        <v>146952.39840948905</v>
      </c>
      <c r="AO10" s="255">
        <v>6</v>
      </c>
      <c r="AP10" s="243">
        <f t="shared" si="3"/>
        <v>57552.810270525493</v>
      </c>
      <c r="AQ10" s="243">
        <f t="shared" si="17"/>
        <v>332365.68961823353</v>
      </c>
      <c r="AR10" s="266">
        <f t="shared" si="4"/>
        <v>1</v>
      </c>
      <c r="AS10" s="254">
        <f t="shared" si="1"/>
        <v>17265.843081157647</v>
      </c>
    </row>
    <row r="11" spans="1:45" ht="16.5" customHeight="1" thickBot="1" x14ac:dyDescent="0.3">
      <c r="A11" s="1"/>
      <c r="B11" s="22" t="s">
        <v>12</v>
      </c>
      <c r="C11" s="23"/>
      <c r="D11" s="24"/>
      <c r="E11" s="51">
        <v>8760</v>
      </c>
      <c r="F11" s="47"/>
      <c r="G11" s="47"/>
      <c r="H11" s="1"/>
      <c r="I11" s="1"/>
      <c r="J11" s="15">
        <v>2024</v>
      </c>
      <c r="K11" s="16">
        <f t="shared" si="18"/>
        <v>0.87772387780968752</v>
      </c>
      <c r="L11" s="17">
        <f t="shared" si="5"/>
        <v>1257636.2660688977</v>
      </c>
      <c r="M11" s="66">
        <f t="shared" si="6"/>
        <v>1221152.6198190844</v>
      </c>
      <c r="N11" s="18">
        <f t="shared" si="19"/>
        <v>7212.8538192975184</v>
      </c>
      <c r="O11" s="331">
        <f t="shared" si="20"/>
        <v>167228535.36365956</v>
      </c>
      <c r="P11" s="418">
        <f t="shared" si="21"/>
        <v>13047932.102176517</v>
      </c>
      <c r="Q11" s="331">
        <f t="shared" si="22"/>
        <v>10795841.953493081</v>
      </c>
      <c r="R11" s="331">
        <f t="shared" si="7"/>
        <v>6803718.5518716807</v>
      </c>
      <c r="S11" s="331">
        <f t="shared" si="8"/>
        <v>88557205.119896024</v>
      </c>
      <c r="T11" s="331" t="s">
        <v>47</v>
      </c>
      <c r="U11" s="333">
        <f t="shared" si="23"/>
        <v>74119701.840575278</v>
      </c>
      <c r="V11" s="333">
        <f t="shared" si="24"/>
        <v>246662105.29495907</v>
      </c>
      <c r="X11" s="255">
        <v>7</v>
      </c>
      <c r="Y11" s="248">
        <f t="shared" si="9"/>
        <v>183426.58624450272</v>
      </c>
      <c r="Z11" s="169">
        <f t="shared" si="10"/>
        <v>108437.17566124885</v>
      </c>
      <c r="AA11" s="244">
        <f t="shared" si="11"/>
        <v>74989.410583253863</v>
      </c>
      <c r="AB11" s="242">
        <f t="shared" si="25"/>
        <v>14623.289765742291</v>
      </c>
      <c r="AC11" s="243">
        <f t="shared" si="25"/>
        <v>1943.6018043075194</v>
      </c>
      <c r="AD11" s="244">
        <f t="shared" si="12"/>
        <v>16566.891570049811</v>
      </c>
      <c r="AE11" s="252">
        <f t="shared" si="13"/>
        <v>58422.519013204052</v>
      </c>
      <c r="AF11" s="252">
        <f t="shared" si="0"/>
        <v>17526.755703961215</v>
      </c>
      <c r="AG11" s="252">
        <f t="shared" si="14"/>
        <v>40895.763309242837</v>
      </c>
      <c r="AH11" s="252">
        <f t="shared" si="15"/>
        <v>16566.891570049811</v>
      </c>
      <c r="AI11" s="255"/>
      <c r="AJ11" s="252">
        <f t="shared" si="2"/>
        <v>57462.654879292648</v>
      </c>
      <c r="AK11" s="252">
        <f t="shared" si="16"/>
        <v>204415.0532887817</v>
      </c>
      <c r="AO11" s="255">
        <v>7</v>
      </c>
      <c r="AP11" s="243">
        <f t="shared" si="3"/>
        <v>58422.519013204052</v>
      </c>
      <c r="AQ11" s="243">
        <f t="shared" si="17"/>
        <v>390788.20863143756</v>
      </c>
      <c r="AR11" s="266">
        <f t="shared" si="4"/>
        <v>1</v>
      </c>
      <c r="AS11" s="254">
        <f t="shared" si="1"/>
        <v>17526.755703961215</v>
      </c>
    </row>
    <row r="12" spans="1:45" ht="16.5" customHeight="1" thickBot="1" x14ac:dyDescent="0.3">
      <c r="A12" s="1"/>
      <c r="B12" s="68" t="s">
        <v>13</v>
      </c>
      <c r="C12" s="69"/>
      <c r="D12" s="70"/>
      <c r="E12" s="25">
        <v>1.5E-3</v>
      </c>
      <c r="F12" s="47"/>
      <c r="G12" s="46"/>
      <c r="H12" s="1"/>
      <c r="I12" s="1"/>
      <c r="J12" s="15">
        <v>2025</v>
      </c>
      <c r="K12" s="16">
        <f t="shared" si="18"/>
        <v>0.87333525842063908</v>
      </c>
      <c r="L12" s="17">
        <f t="shared" si="5"/>
        <v>1251348.084738553</v>
      </c>
      <c r="M12" s="66">
        <f t="shared" si="6"/>
        <v>1215046.8567199891</v>
      </c>
      <c r="N12" s="18">
        <f t="shared" si="19"/>
        <v>7223.6731000264654</v>
      </c>
      <c r="O12" s="331">
        <f t="shared" si="20"/>
        <v>170443893.80283707</v>
      </c>
      <c r="P12" s="418">
        <f t="shared" si="21"/>
        <v>12982692.441665638</v>
      </c>
      <c r="Q12" s="331">
        <f t="shared" si="22"/>
        <v>10764919.627343141</v>
      </c>
      <c r="R12" s="331">
        <f t="shared" si="7"/>
        <v>6769699.9591123229</v>
      </c>
      <c r="S12" s="331">
        <f t="shared" si="8"/>
        <v>90902556.074793383</v>
      </c>
      <c r="T12" s="331" t="s">
        <v>47</v>
      </c>
      <c r="U12" s="333">
        <f t="shared" si="23"/>
        <v>74989410.583253875</v>
      </c>
      <c r="V12" s="333">
        <f t="shared" si="24"/>
        <v>321651515.87821293</v>
      </c>
      <c r="X12" s="255">
        <v>8</v>
      </c>
      <c r="Y12" s="248">
        <f t="shared" si="9"/>
        <v>186322.14041196156</v>
      </c>
      <c r="Z12" s="169">
        <f t="shared" si="10"/>
        <v>110444.24090875164</v>
      </c>
      <c r="AA12" s="244">
        <f t="shared" si="11"/>
        <v>75877.899503209919</v>
      </c>
      <c r="AB12" s="242">
        <f t="shared" si="25"/>
        <v>14623.289765742291</v>
      </c>
      <c r="AC12" s="243">
        <f t="shared" si="25"/>
        <v>1943.6018043075194</v>
      </c>
      <c r="AD12" s="244">
        <f t="shared" si="12"/>
        <v>16566.891570049811</v>
      </c>
      <c r="AE12" s="252">
        <f t="shared" si="13"/>
        <v>59311.007933160108</v>
      </c>
      <c r="AF12" s="252">
        <f t="shared" si="0"/>
        <v>17793.302379948032</v>
      </c>
      <c r="AG12" s="252">
        <f t="shared" si="14"/>
        <v>41517.705553212072</v>
      </c>
      <c r="AH12" s="252">
        <f t="shared" si="15"/>
        <v>16566.891570049811</v>
      </c>
      <c r="AI12" s="255"/>
      <c r="AJ12" s="252">
        <f t="shared" si="2"/>
        <v>58084.597123261883</v>
      </c>
      <c r="AK12" s="252">
        <f t="shared" si="16"/>
        <v>262499.65041204356</v>
      </c>
      <c r="AO12" s="255">
        <v>8</v>
      </c>
      <c r="AP12" s="243">
        <f t="shared" si="3"/>
        <v>59311.007933160108</v>
      </c>
      <c r="AQ12" s="243">
        <f t="shared" si="17"/>
        <v>450099.21656459768</v>
      </c>
      <c r="AR12" s="266">
        <f t="shared" si="4"/>
        <v>1</v>
      </c>
      <c r="AS12" s="254">
        <f t="shared" si="1"/>
        <v>17793.302379948032</v>
      </c>
    </row>
    <row r="13" spans="1:45" ht="16.5" customHeight="1" thickBot="1" x14ac:dyDescent="0.3">
      <c r="A13" s="1"/>
      <c r="B13" s="68" t="s">
        <v>14</v>
      </c>
      <c r="C13" s="69"/>
      <c r="D13" s="70"/>
      <c r="E13" s="25">
        <v>5.0000000000000001E-3</v>
      </c>
      <c r="F13" s="48"/>
      <c r="G13" s="48"/>
      <c r="H13" s="1"/>
      <c r="I13" s="1"/>
      <c r="J13" s="15">
        <v>2026</v>
      </c>
      <c r="K13" s="16">
        <f t="shared" si="18"/>
        <v>0.86896858212853589</v>
      </c>
      <c r="L13" s="17">
        <f t="shared" si="5"/>
        <v>1245091.3443148602</v>
      </c>
      <c r="M13" s="66">
        <f t="shared" si="6"/>
        <v>1208971.6224363891</v>
      </c>
      <c r="N13" s="18">
        <f t="shared" si="19"/>
        <v>7234.5086096765053</v>
      </c>
      <c r="O13" s="331">
        <f t="shared" si="20"/>
        <v>173404361.43250424</v>
      </c>
      <c r="P13" s="418">
        <f t="shared" si="21"/>
        <v>12917778.979457308</v>
      </c>
      <c r="Q13" s="331">
        <f t="shared" si="22"/>
        <v>10734151.912823953</v>
      </c>
      <c r="R13" s="331">
        <f t="shared" si="7"/>
        <v>6735851.4593167603</v>
      </c>
      <c r="S13" s="331">
        <f t="shared" si="8"/>
        <v>92974237.536610916</v>
      </c>
      <c r="T13" s="331" t="s">
        <v>47</v>
      </c>
      <c r="U13" s="333">
        <f t="shared" si="23"/>
        <v>75877899.503209934</v>
      </c>
      <c r="V13" s="333">
        <f t="shared" si="24"/>
        <v>397529415.38142288</v>
      </c>
      <c r="X13" s="255">
        <v>9</v>
      </c>
      <c r="Y13" s="248">
        <f t="shared" si="9"/>
        <v>188525.11720114425</v>
      </c>
      <c r="Z13" s="169">
        <f t="shared" si="10"/>
        <v>111585.21469352159</v>
      </c>
      <c r="AA13" s="244">
        <f t="shared" si="11"/>
        <v>76939.902507622668</v>
      </c>
      <c r="AB13" s="242">
        <f t="shared" si="25"/>
        <v>14623.289765742291</v>
      </c>
      <c r="AC13" s="243">
        <f t="shared" si="25"/>
        <v>1943.6018043075194</v>
      </c>
      <c r="AD13" s="244">
        <f t="shared" si="12"/>
        <v>16566.891570049811</v>
      </c>
      <c r="AE13" s="252">
        <f t="shared" si="13"/>
        <v>60373.010937572857</v>
      </c>
      <c r="AF13" s="252">
        <f t="shared" si="0"/>
        <v>18111.903281271858</v>
      </c>
      <c r="AG13" s="252">
        <f t="shared" si="14"/>
        <v>42261.107656300999</v>
      </c>
      <c r="AH13" s="252">
        <f t="shared" si="15"/>
        <v>16566.891570049811</v>
      </c>
      <c r="AI13" s="255"/>
      <c r="AJ13" s="252">
        <f t="shared" si="2"/>
        <v>58827.99922635081</v>
      </c>
      <c r="AK13" s="252">
        <f t="shared" si="16"/>
        <v>321327.64963839436</v>
      </c>
      <c r="AO13" s="255">
        <v>9</v>
      </c>
      <c r="AP13" s="243">
        <f t="shared" si="3"/>
        <v>60373.010937572857</v>
      </c>
      <c r="AQ13" s="243">
        <f t="shared" si="17"/>
        <v>510472.22750217054</v>
      </c>
      <c r="AR13" s="266">
        <f t="shared" si="4"/>
        <v>1</v>
      </c>
      <c r="AS13" s="254">
        <f t="shared" si="1"/>
        <v>18111.903281271858</v>
      </c>
    </row>
    <row r="14" spans="1:45" ht="16.5" customHeight="1" thickBot="1" x14ac:dyDescent="0.3">
      <c r="A14" s="1"/>
      <c r="B14" s="740" t="s">
        <v>25</v>
      </c>
      <c r="C14" s="741"/>
      <c r="D14" s="742"/>
      <c r="E14" s="26">
        <v>9.47817E-7</v>
      </c>
      <c r="F14" s="48"/>
      <c r="G14" s="48"/>
      <c r="H14" s="1"/>
      <c r="I14" s="1"/>
      <c r="J14" s="15">
        <v>2027</v>
      </c>
      <c r="K14" s="16">
        <f t="shared" si="18"/>
        <v>0.86462373921789326</v>
      </c>
      <c r="L14" s="17">
        <f t="shared" si="5"/>
        <v>1238865.8875932861</v>
      </c>
      <c r="M14" s="66">
        <f t="shared" si="6"/>
        <v>1202926.7643242071</v>
      </c>
      <c r="N14" s="18">
        <f t="shared" si="19"/>
        <v>7245.3603725910207</v>
      </c>
      <c r="O14" s="331">
        <f t="shared" si="20"/>
        <v>175671927.11658421</v>
      </c>
      <c r="P14" s="418">
        <f t="shared" si="21"/>
        <v>12853190.084560024</v>
      </c>
      <c r="Q14" s="331">
        <f t="shared" si="22"/>
        <v>10703538.03687736</v>
      </c>
      <c r="R14" s="331">
        <f t="shared" si="7"/>
        <v>6702172.2020201776</v>
      </c>
      <c r="S14" s="331">
        <f t="shared" si="8"/>
        <v>94179504.454624042</v>
      </c>
      <c r="T14" s="331" t="s">
        <v>47</v>
      </c>
      <c r="U14" s="333">
        <f t="shared" si="23"/>
        <v>76939902.507622674</v>
      </c>
      <c r="V14" s="333">
        <f t="shared" si="24"/>
        <v>474469317.88904554</v>
      </c>
      <c r="X14" s="255">
        <v>10</v>
      </c>
      <c r="Y14" s="248">
        <f t="shared" si="9"/>
        <v>189660.27272417652</v>
      </c>
      <c r="Z14" s="169">
        <f t="shared" si="10"/>
        <v>111869.13186370143</v>
      </c>
      <c r="AA14" s="244">
        <f t="shared" si="11"/>
        <v>77791.14086047509</v>
      </c>
      <c r="AB14" s="242">
        <f t="shared" si="25"/>
        <v>14623.289765742291</v>
      </c>
      <c r="AC14" s="243">
        <f t="shared" si="25"/>
        <v>1943.6018043075194</v>
      </c>
      <c r="AD14" s="244">
        <f t="shared" si="12"/>
        <v>16566.891570049811</v>
      </c>
      <c r="AE14" s="252">
        <f t="shared" si="13"/>
        <v>61224.249290425279</v>
      </c>
      <c r="AF14" s="252">
        <f t="shared" si="0"/>
        <v>18367.274787127582</v>
      </c>
      <c r="AG14" s="252">
        <f t="shared" si="14"/>
        <v>42856.974503297693</v>
      </c>
      <c r="AH14" s="252">
        <f t="shared" si="15"/>
        <v>16566.891570049811</v>
      </c>
      <c r="AI14" s="255"/>
      <c r="AJ14" s="252">
        <f t="shared" si="2"/>
        <v>59423.866073347504</v>
      </c>
      <c r="AK14" s="252">
        <f t="shared" si="16"/>
        <v>380751.51571174187</v>
      </c>
      <c r="AO14" s="255">
        <v>10</v>
      </c>
      <c r="AP14" s="243">
        <f t="shared" si="3"/>
        <v>61224.249290425279</v>
      </c>
      <c r="AQ14" s="243">
        <f t="shared" si="17"/>
        <v>571696.47679259581</v>
      </c>
      <c r="AR14" s="266">
        <f t="shared" si="4"/>
        <v>1</v>
      </c>
      <c r="AS14" s="254">
        <f t="shared" si="1"/>
        <v>18367.274787127582</v>
      </c>
    </row>
    <row r="15" spans="1:45" ht="16.5" customHeight="1" thickBot="1" x14ac:dyDescent="0.3">
      <c r="A15" s="1"/>
      <c r="B15" s="740" t="s">
        <v>71</v>
      </c>
      <c r="C15" s="741"/>
      <c r="D15" s="742"/>
      <c r="E15" s="88">
        <v>190753.42</v>
      </c>
      <c r="F15" s="48"/>
      <c r="G15" s="48"/>
      <c r="H15" s="1"/>
      <c r="I15" s="1"/>
      <c r="J15" s="15">
        <v>2028</v>
      </c>
      <c r="K15" s="16">
        <f t="shared" si="18"/>
        <v>0.86030062052180378</v>
      </c>
      <c r="L15" s="17">
        <f t="shared" si="5"/>
        <v>1232671.5581553197</v>
      </c>
      <c r="M15" s="66">
        <f t="shared" si="6"/>
        <v>1196912.1305025863</v>
      </c>
      <c r="N15" s="18">
        <f t="shared" si="19"/>
        <v>7256.2284131499073</v>
      </c>
      <c r="O15" s="331">
        <f t="shared" si="20"/>
        <v>176871348.59003931</v>
      </c>
      <c r="P15" s="418">
        <f t="shared" si="21"/>
        <v>12788924.134137221</v>
      </c>
      <c r="Q15" s="331">
        <f t="shared" si="22"/>
        <v>10673077.2303105</v>
      </c>
      <c r="R15" s="331">
        <f t="shared" si="7"/>
        <v>6668661.3410100769</v>
      </c>
      <c r="S15" s="331">
        <f t="shared" si="8"/>
        <v>94527393.292380854</v>
      </c>
      <c r="T15" s="331" t="s">
        <v>47</v>
      </c>
      <c r="U15" s="333">
        <f t="shared" si="23"/>
        <v>77791140.860475108</v>
      </c>
      <c r="V15" s="333">
        <f t="shared" si="24"/>
        <v>552260458.74952066</v>
      </c>
      <c r="X15" s="255">
        <v>11</v>
      </c>
      <c r="Y15" s="248">
        <f t="shared" si="9"/>
        <v>191663.31974923456</v>
      </c>
      <c r="Z15" s="169">
        <f t="shared" si="10"/>
        <v>112910.09495686329</v>
      </c>
      <c r="AA15" s="244">
        <f t="shared" si="11"/>
        <v>78753.224792371271</v>
      </c>
      <c r="AB15" s="242">
        <v>0</v>
      </c>
      <c r="AC15" s="243">
        <f t="shared" si="25"/>
        <v>1943.6018043075194</v>
      </c>
      <c r="AD15" s="244">
        <f t="shared" si="12"/>
        <v>1943.6018043075194</v>
      </c>
      <c r="AE15" s="252">
        <f t="shared" si="13"/>
        <v>76809.622988063755</v>
      </c>
      <c r="AF15" s="252">
        <f t="shared" si="0"/>
        <v>23042.886896419124</v>
      </c>
      <c r="AG15" s="252">
        <f t="shared" si="14"/>
        <v>53766.736091644634</v>
      </c>
      <c r="AH15" s="252">
        <f t="shared" si="15"/>
        <v>1943.6018043075194</v>
      </c>
      <c r="AI15" s="255"/>
      <c r="AJ15" s="252">
        <f t="shared" si="2"/>
        <v>55710.337895952151</v>
      </c>
      <c r="AK15" s="252">
        <f t="shared" si="16"/>
        <v>436461.85360769404</v>
      </c>
      <c r="AO15" s="255">
        <v>11</v>
      </c>
      <c r="AP15" s="243">
        <f t="shared" si="3"/>
        <v>76809.622988063755</v>
      </c>
      <c r="AQ15" s="243">
        <f t="shared" si="17"/>
        <v>648506.09978065954</v>
      </c>
      <c r="AR15" s="266">
        <f t="shared" si="4"/>
        <v>1</v>
      </c>
      <c r="AS15" s="254">
        <f t="shared" si="1"/>
        <v>23042.886896419124</v>
      </c>
    </row>
    <row r="16" spans="1:45" ht="16.5" thickBot="1" x14ac:dyDescent="0.3">
      <c r="A16" s="1"/>
      <c r="B16" s="740" t="s">
        <v>73</v>
      </c>
      <c r="C16" s="741"/>
      <c r="D16" s="742"/>
      <c r="E16" s="478">
        <v>4.5780000000000003</v>
      </c>
      <c r="F16" s="1"/>
      <c r="G16" s="1"/>
      <c r="H16" s="1"/>
      <c r="I16" s="1"/>
      <c r="J16" s="15">
        <v>2029</v>
      </c>
      <c r="K16" s="16">
        <f t="shared" si="18"/>
        <v>0.85599911741919477</v>
      </c>
      <c r="L16" s="17">
        <f t="shared" si="5"/>
        <v>1226508.2003645431</v>
      </c>
      <c r="M16" s="66">
        <f t="shared" si="6"/>
        <v>1190927.5698500732</v>
      </c>
      <c r="N16" s="18">
        <f t="shared" si="19"/>
        <v>7267.1127557696327</v>
      </c>
      <c r="O16" s="331">
        <f t="shared" si="20"/>
        <v>178938340.23576802</v>
      </c>
      <c r="P16" s="418">
        <f t="shared" si="21"/>
        <v>12724979.513466535</v>
      </c>
      <c r="Q16" s="331">
        <f t="shared" si="22"/>
        <v>10642768.727776475</v>
      </c>
      <c r="R16" s="331">
        <f t="shared" si="7"/>
        <v>6635318.0343050258</v>
      </c>
      <c r="S16" s="331">
        <f t="shared" si="8"/>
        <v>95632008.194781795</v>
      </c>
      <c r="T16" s="331" t="s">
        <v>47</v>
      </c>
      <c r="U16" s="333">
        <f t="shared" si="23"/>
        <v>78753224.792371258</v>
      </c>
      <c r="V16" s="333">
        <f t="shared" si="24"/>
        <v>631013683.54189193</v>
      </c>
      <c r="X16" s="255">
        <v>12</v>
      </c>
      <c r="Y16" s="248">
        <f t="shared" si="9"/>
        <v>194796.33618437598</v>
      </c>
      <c r="Z16" s="169">
        <f t="shared" si="10"/>
        <v>115121.04410498303</v>
      </c>
      <c r="AA16" s="244">
        <f t="shared" si="11"/>
        <v>79675.292079392952</v>
      </c>
      <c r="AB16" s="242">
        <v>0</v>
      </c>
      <c r="AC16" s="243">
        <f t="shared" si="25"/>
        <v>1943.6018043075194</v>
      </c>
      <c r="AD16" s="244">
        <f t="shared" si="12"/>
        <v>1943.6018043075194</v>
      </c>
      <c r="AE16" s="252">
        <f t="shared" si="13"/>
        <v>77731.690275085435</v>
      </c>
      <c r="AF16" s="252">
        <f t="shared" si="0"/>
        <v>23319.50708252563</v>
      </c>
      <c r="AG16" s="252">
        <f t="shared" si="14"/>
        <v>54412.183192559809</v>
      </c>
      <c r="AH16" s="252">
        <f t="shared" si="15"/>
        <v>1943.6018043075194</v>
      </c>
      <c r="AI16" s="255"/>
      <c r="AJ16" s="252">
        <f t="shared" si="2"/>
        <v>56355.784996867325</v>
      </c>
      <c r="AK16" s="252">
        <f t="shared" si="16"/>
        <v>492817.63860456133</v>
      </c>
      <c r="AO16" s="255">
        <v>12</v>
      </c>
      <c r="AP16" s="243">
        <f t="shared" si="3"/>
        <v>77731.690275085435</v>
      </c>
      <c r="AQ16" s="243">
        <f t="shared" si="17"/>
        <v>726237.79005574493</v>
      </c>
      <c r="AR16" s="266">
        <f t="shared" si="4"/>
        <v>1</v>
      </c>
      <c r="AS16" s="254">
        <f t="shared" si="1"/>
        <v>23319.50708252563</v>
      </c>
    </row>
    <row r="17" spans="1:45" ht="16.5" thickBot="1" x14ac:dyDescent="0.3">
      <c r="A17" s="1"/>
      <c r="B17" s="740" t="s">
        <v>72</v>
      </c>
      <c r="C17" s="741"/>
      <c r="D17" s="742"/>
      <c r="E17" s="479">
        <v>1014.48</v>
      </c>
      <c r="F17" s="228">
        <f>E17*8760*K6*1000^-1*E18</f>
        <v>91538.944862400022</v>
      </c>
      <c r="G17" s="313">
        <f>E17/E15</f>
        <v>5.318279483534292E-3</v>
      </c>
      <c r="H17" s="1"/>
      <c r="I17" s="1"/>
      <c r="J17" s="15">
        <v>2030</v>
      </c>
      <c r="K17" s="16">
        <f t="shared" si="18"/>
        <v>0.85171912183209875</v>
      </c>
      <c r="L17" s="17">
        <f t="shared" si="5"/>
        <v>1220375.6593627203</v>
      </c>
      <c r="M17" s="66">
        <f t="shared" si="6"/>
        <v>1184972.9320008229</v>
      </c>
      <c r="N17" s="18">
        <f t="shared" si="19"/>
        <v>7278.0134249032872</v>
      </c>
      <c r="O17" s="331">
        <f t="shared" si="20"/>
        <v>182134981.56847677</v>
      </c>
      <c r="P17" s="418">
        <f t="shared" si="21"/>
        <v>12661354.615899201</v>
      </c>
      <c r="Q17" s="331">
        <f t="shared" si="22"/>
        <v>10612611.767755117</v>
      </c>
      <c r="R17" s="331">
        <f t="shared" si="7"/>
        <v>6602141.4441335006</v>
      </c>
      <c r="S17" s="331">
        <f t="shared" si="8"/>
        <v>97906290.89309442</v>
      </c>
      <c r="T17" s="331" t="s">
        <v>47</v>
      </c>
      <c r="U17" s="333">
        <f t="shared" si="23"/>
        <v>79675292.07939294</v>
      </c>
      <c r="V17" s="333">
        <f t="shared" si="24"/>
        <v>710688975.62128484</v>
      </c>
      <c r="X17" s="255">
        <v>13</v>
      </c>
      <c r="Y17" s="248">
        <f t="shared" si="9"/>
        <v>197682.67951964075</v>
      </c>
      <c r="Z17" s="169">
        <f t="shared" si="10"/>
        <v>117063.51236740386</v>
      </c>
      <c r="AA17" s="244">
        <f t="shared" si="11"/>
        <v>80619.167152236885</v>
      </c>
      <c r="AB17" s="242">
        <v>0</v>
      </c>
      <c r="AC17" s="243">
        <f t="shared" si="25"/>
        <v>1943.6018043075194</v>
      </c>
      <c r="AD17" s="244">
        <f t="shared" si="12"/>
        <v>1943.6018043075194</v>
      </c>
      <c r="AE17" s="252">
        <f t="shared" si="13"/>
        <v>78675.565347929369</v>
      </c>
      <c r="AF17" s="252">
        <f t="shared" si="0"/>
        <v>23602.669604378811</v>
      </c>
      <c r="AG17" s="252">
        <f t="shared" si="14"/>
        <v>55072.895743550558</v>
      </c>
      <c r="AH17" s="252">
        <f t="shared" si="15"/>
        <v>1943.6018043075194</v>
      </c>
      <c r="AI17" s="255"/>
      <c r="AJ17" s="252">
        <f t="shared" si="2"/>
        <v>57016.497547858075</v>
      </c>
      <c r="AK17" s="252">
        <f t="shared" si="16"/>
        <v>549834.13615241938</v>
      </c>
      <c r="AO17" s="255">
        <v>13</v>
      </c>
      <c r="AP17" s="243">
        <f t="shared" si="3"/>
        <v>78675.565347929369</v>
      </c>
      <c r="AQ17" s="243">
        <f t="shared" si="17"/>
        <v>804913.3554036743</v>
      </c>
      <c r="AR17" s="266">
        <f t="shared" si="4"/>
        <v>1</v>
      </c>
      <c r="AS17" s="254">
        <f t="shared" si="1"/>
        <v>23602.669604378811</v>
      </c>
    </row>
    <row r="18" spans="1:45" ht="16.5" thickBot="1" x14ac:dyDescent="0.3">
      <c r="A18" s="1"/>
      <c r="B18" s="740" t="s">
        <v>74</v>
      </c>
      <c r="C18" s="741"/>
      <c r="D18" s="742"/>
      <c r="E18" s="478">
        <f>2.5*E16</f>
        <v>11.445</v>
      </c>
      <c r="F18" s="1"/>
      <c r="G18" s="1"/>
      <c r="H18" s="1"/>
      <c r="I18" s="1"/>
      <c r="J18" s="15">
        <v>2031</v>
      </c>
      <c r="K18" s="16">
        <f t="shared" si="18"/>
        <v>0.84746052622293822</v>
      </c>
      <c r="L18" s="17">
        <f t="shared" si="5"/>
        <v>1214273.7810659064</v>
      </c>
      <c r="M18" s="66">
        <f t="shared" si="6"/>
        <v>1179048.0673408187</v>
      </c>
      <c r="N18" s="18">
        <f t="shared" si="19"/>
        <v>7288.9304450406426</v>
      </c>
      <c r="O18" s="331">
        <f t="shared" si="20"/>
        <v>185084631.67682102</v>
      </c>
      <c r="P18" s="418">
        <f t="shared" si="21"/>
        <v>12598047.842819706</v>
      </c>
      <c r="Q18" s="331">
        <f t="shared" si="22"/>
        <v>10582605.592533868</v>
      </c>
      <c r="R18" s="331">
        <f t="shared" si="7"/>
        <v>6569130.7369128326</v>
      </c>
      <c r="S18" s="331">
        <f t="shared" si="8"/>
        <v>99911776.037957162</v>
      </c>
      <c r="T18" s="331" t="s">
        <v>47</v>
      </c>
      <c r="U18" s="333">
        <f t="shared" si="23"/>
        <v>80619167.152236879</v>
      </c>
      <c r="V18" s="333">
        <f t="shared" si="24"/>
        <v>791308142.77352166</v>
      </c>
      <c r="X18" s="255">
        <v>14</v>
      </c>
      <c r="Y18" s="248">
        <f t="shared" si="9"/>
        <v>200963.16371848382</v>
      </c>
      <c r="Z18" s="169">
        <f t="shared" si="10"/>
        <v>119408.99643889719</v>
      </c>
      <c r="AA18" s="244">
        <f t="shared" si="11"/>
        <v>81554.167279586633</v>
      </c>
      <c r="AB18" s="242">
        <v>0</v>
      </c>
      <c r="AC18" s="243">
        <f t="shared" si="25"/>
        <v>1943.6018043075194</v>
      </c>
      <c r="AD18" s="244">
        <f t="shared" si="12"/>
        <v>1943.6018043075194</v>
      </c>
      <c r="AE18" s="252">
        <f t="shared" si="13"/>
        <v>79610.565475279116</v>
      </c>
      <c r="AF18" s="252">
        <f t="shared" si="0"/>
        <v>23883.169642583733</v>
      </c>
      <c r="AG18" s="252">
        <f t="shared" si="14"/>
        <v>55727.395832695387</v>
      </c>
      <c r="AH18" s="252">
        <f t="shared" si="15"/>
        <v>1943.6018043075194</v>
      </c>
      <c r="AI18" s="255"/>
      <c r="AJ18" s="252">
        <f t="shared" si="2"/>
        <v>57670.997637002904</v>
      </c>
      <c r="AK18" s="252">
        <f t="shared" si="16"/>
        <v>607505.13378942222</v>
      </c>
      <c r="AO18" s="255">
        <v>14</v>
      </c>
      <c r="AP18" s="243">
        <f t="shared" si="3"/>
        <v>79610.565475279116</v>
      </c>
      <c r="AQ18" s="243">
        <f t="shared" si="17"/>
        <v>884523.92087895342</v>
      </c>
      <c r="AR18" s="266">
        <f t="shared" si="4"/>
        <v>1</v>
      </c>
      <c r="AS18" s="254">
        <f t="shared" si="1"/>
        <v>23883.169642583733</v>
      </c>
    </row>
    <row r="19" spans="1:45" x14ac:dyDescent="0.25">
      <c r="A19" s="1"/>
      <c r="B19" s="1"/>
      <c r="C19" s="1"/>
      <c r="D19" s="1"/>
      <c r="E19" s="1"/>
      <c r="F19" s="1"/>
      <c r="G19" s="1"/>
      <c r="H19" s="1"/>
      <c r="I19" s="1"/>
      <c r="J19" s="15">
        <v>2032</v>
      </c>
      <c r="K19" s="16">
        <f t="shared" si="18"/>
        <v>0.84322322359182356</v>
      </c>
      <c r="L19" s="17">
        <f t="shared" si="5"/>
        <v>1208202.412160577</v>
      </c>
      <c r="M19" s="66">
        <f t="shared" si="6"/>
        <v>1173152.8270041146</v>
      </c>
      <c r="N19" s="18">
        <f t="shared" si="19"/>
        <v>7299.8638407082035</v>
      </c>
      <c r="O19" s="331">
        <f t="shared" si="20"/>
        <v>188428106.11487821</v>
      </c>
      <c r="P19" s="418">
        <f t="shared" si="21"/>
        <v>12535057.603605608</v>
      </c>
      <c r="Q19" s="331">
        <f t="shared" si="22"/>
        <v>10552749.448188726</v>
      </c>
      <c r="R19" s="331">
        <f t="shared" si="7"/>
        <v>6536285.0832282687</v>
      </c>
      <c r="S19" s="331">
        <f t="shared" si="8"/>
        <v>102319961.9074802</v>
      </c>
      <c r="T19" s="331" t="s">
        <v>47</v>
      </c>
      <c r="U19" s="333">
        <f t="shared" si="23"/>
        <v>81554167.279586628</v>
      </c>
      <c r="V19" s="333">
        <f t="shared" si="24"/>
        <v>872862310.05310833</v>
      </c>
      <c r="X19" s="255">
        <v>15</v>
      </c>
      <c r="Y19" s="248">
        <f t="shared" si="9"/>
        <v>201780.79644366429</v>
      </c>
      <c r="Z19" s="169">
        <f t="shared" si="10"/>
        <v>119154.32394660619</v>
      </c>
      <c r="AA19" s="244">
        <f t="shared" si="11"/>
        <v>82626.472497058101</v>
      </c>
      <c r="AB19" s="242">
        <v>0</v>
      </c>
      <c r="AC19" s="243">
        <f t="shared" si="25"/>
        <v>1943.6018043075194</v>
      </c>
      <c r="AD19" s="244">
        <f t="shared" si="12"/>
        <v>1943.6018043075194</v>
      </c>
      <c r="AE19" s="252">
        <f t="shared" si="13"/>
        <v>80682.870692750585</v>
      </c>
      <c r="AF19" s="252">
        <f t="shared" si="0"/>
        <v>24204.861207825175</v>
      </c>
      <c r="AG19" s="252">
        <f t="shared" si="14"/>
        <v>56478.009484925409</v>
      </c>
      <c r="AH19" s="252">
        <f t="shared" si="15"/>
        <v>1943.6018043075194</v>
      </c>
      <c r="AI19" s="255"/>
      <c r="AJ19" s="252">
        <f t="shared" si="2"/>
        <v>58421.611289232926</v>
      </c>
      <c r="AK19" s="252">
        <f t="shared" si="16"/>
        <v>665926.74507865519</v>
      </c>
      <c r="AO19" s="255">
        <v>15</v>
      </c>
      <c r="AP19" s="243">
        <f t="shared" si="3"/>
        <v>80682.870692750585</v>
      </c>
      <c r="AQ19" s="243">
        <f t="shared" si="17"/>
        <v>965206.79157170397</v>
      </c>
      <c r="AR19" s="266">
        <f t="shared" si="4"/>
        <v>1</v>
      </c>
      <c r="AS19" s="254">
        <f t="shared" si="1"/>
        <v>24204.861207825175</v>
      </c>
    </row>
    <row r="20" spans="1:45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5">
        <v>2033</v>
      </c>
      <c r="K20" s="16">
        <f t="shared" si="18"/>
        <v>0.83900710747386442</v>
      </c>
      <c r="L20" s="17">
        <f t="shared" si="5"/>
        <v>1202161.4000997741</v>
      </c>
      <c r="M20" s="66">
        <f t="shared" si="6"/>
        <v>1167287.0628690941</v>
      </c>
      <c r="N20" s="18">
        <f t="shared" si="19"/>
        <v>7310.8136364692664</v>
      </c>
      <c r="O20" s="331">
        <f t="shared" si="20"/>
        <v>189308414.1280767</v>
      </c>
      <c r="P20" s="418">
        <f t="shared" si="21"/>
        <v>12472382.315587578</v>
      </c>
      <c r="Q20" s="331">
        <f t="shared" si="22"/>
        <v>10523042.58456531</v>
      </c>
      <c r="R20" s="331">
        <f t="shared" si="7"/>
        <v>6503603.6578121269</v>
      </c>
      <c r="S20" s="331">
        <f t="shared" si="8"/>
        <v>102127677.70422874</v>
      </c>
      <c r="T20" s="331" t="s">
        <v>47</v>
      </c>
      <c r="U20" s="333">
        <f t="shared" si="23"/>
        <v>82626472.497058108</v>
      </c>
      <c r="V20" s="333">
        <f t="shared" si="24"/>
        <v>955488782.55016649</v>
      </c>
      <c r="X20" s="255">
        <v>16</v>
      </c>
      <c r="Y20" s="248">
        <f t="shared" si="9"/>
        <v>204192.08610956886</v>
      </c>
      <c r="Z20" s="169">
        <f t="shared" si="10"/>
        <v>120560.24050131009</v>
      </c>
      <c r="AA20" s="244">
        <f t="shared" si="11"/>
        <v>83631.845608258765</v>
      </c>
      <c r="AB20" s="242">
        <v>0</v>
      </c>
      <c r="AC20" s="243">
        <f t="shared" si="25"/>
        <v>1943.6018043075194</v>
      </c>
      <c r="AD20" s="244">
        <f t="shared" si="12"/>
        <v>1943.6018043075194</v>
      </c>
      <c r="AE20" s="252">
        <f t="shared" si="13"/>
        <v>81688.243803951249</v>
      </c>
      <c r="AF20" s="252">
        <f t="shared" si="0"/>
        <v>24506.473141185375</v>
      </c>
      <c r="AG20" s="252">
        <f t="shared" si="14"/>
        <v>57181.770662765877</v>
      </c>
      <c r="AH20" s="252">
        <f t="shared" si="15"/>
        <v>1943.6018043075194</v>
      </c>
      <c r="AI20" s="255"/>
      <c r="AJ20" s="252">
        <f t="shared" si="2"/>
        <v>59125.372467073394</v>
      </c>
      <c r="AK20" s="252">
        <f t="shared" si="16"/>
        <v>725052.11754572857</v>
      </c>
      <c r="AO20" s="255">
        <v>16</v>
      </c>
      <c r="AP20" s="243">
        <f t="shared" si="3"/>
        <v>81688.243803951249</v>
      </c>
      <c r="AQ20" s="243">
        <f t="shared" si="17"/>
        <v>1046895.0353756552</v>
      </c>
      <c r="AR20" s="266">
        <f t="shared" si="4"/>
        <v>1</v>
      </c>
      <c r="AS20" s="254">
        <f t="shared" si="1"/>
        <v>24506.473141185375</v>
      </c>
    </row>
    <row r="21" spans="1:45" ht="15.75" thickBot="1" x14ac:dyDescent="0.3">
      <c r="A21" s="1"/>
      <c r="B21" s="100" t="s">
        <v>16</v>
      </c>
      <c r="C21" s="101"/>
      <c r="D21" s="1"/>
      <c r="E21" s="1"/>
      <c r="F21" s="1"/>
      <c r="G21" s="1"/>
      <c r="H21" s="1"/>
      <c r="I21" s="1"/>
      <c r="J21" s="15">
        <v>2034</v>
      </c>
      <c r="K21" s="16">
        <f t="shared" si="18"/>
        <v>0.83481207193649509</v>
      </c>
      <c r="L21" s="17">
        <f t="shared" si="5"/>
        <v>1196150.5930992754</v>
      </c>
      <c r="M21" s="66">
        <f t="shared" si="6"/>
        <v>1161450.6275547484</v>
      </c>
      <c r="N21" s="18">
        <f t="shared" si="19"/>
        <v>7321.7798569239703</v>
      </c>
      <c r="O21" s="331">
        <f t="shared" si="20"/>
        <v>191782065.70555922</v>
      </c>
      <c r="P21" s="418">
        <f t="shared" si="21"/>
        <v>12410020.40400964</v>
      </c>
      <c r="Q21" s="331">
        <f t="shared" si="22"/>
        <v>10493484.255260009</v>
      </c>
      <c r="R21" s="331">
        <f t="shared" si="7"/>
        <v>6471085.6395230666</v>
      </c>
      <c r="S21" s="331">
        <f t="shared" si="8"/>
        <v>103595670.60652702</v>
      </c>
      <c r="T21" s="331" t="s">
        <v>47</v>
      </c>
      <c r="U21" s="333">
        <f t="shared" si="23"/>
        <v>83631845.608258769</v>
      </c>
      <c r="V21" s="333">
        <f t="shared" si="24"/>
        <v>1039120628.1584252</v>
      </c>
      <c r="X21" s="258">
        <v>17</v>
      </c>
      <c r="Y21" s="249">
        <f t="shared" si="9"/>
        <v>205507.49037366104</v>
      </c>
      <c r="Z21" s="250">
        <f t="shared" si="10"/>
        <v>120796.85828997998</v>
      </c>
      <c r="AA21" s="251">
        <f t="shared" si="11"/>
        <v>84710.632083681063</v>
      </c>
      <c r="AB21" s="256">
        <v>0</v>
      </c>
      <c r="AC21" s="257">
        <f t="shared" si="25"/>
        <v>1943.6018043075194</v>
      </c>
      <c r="AD21" s="251">
        <f t="shared" si="12"/>
        <v>1943.6018043075194</v>
      </c>
      <c r="AE21" s="253">
        <f t="shared" si="13"/>
        <v>82767.030279373546</v>
      </c>
      <c r="AF21" s="253">
        <f t="shared" si="0"/>
        <v>24830.109083812062</v>
      </c>
      <c r="AG21" s="253">
        <f t="shared" si="14"/>
        <v>57936.921195561488</v>
      </c>
      <c r="AH21" s="253">
        <f t="shared" si="15"/>
        <v>1943.6018043075194</v>
      </c>
      <c r="AI21" s="258"/>
      <c r="AJ21" s="253">
        <f t="shared" si="2"/>
        <v>59880.522999869005</v>
      </c>
      <c r="AK21" s="253">
        <f t="shared" si="16"/>
        <v>784932.64054559753</v>
      </c>
      <c r="AO21" s="258">
        <v>17</v>
      </c>
      <c r="AP21" s="257">
        <f t="shared" si="3"/>
        <v>82767.030279373546</v>
      </c>
      <c r="AQ21" s="257">
        <f t="shared" si="17"/>
        <v>1129662.0656550287</v>
      </c>
      <c r="AR21" s="267">
        <f t="shared" si="4"/>
        <v>1</v>
      </c>
      <c r="AS21" s="264">
        <f t="shared" si="1"/>
        <v>24830.109083812062</v>
      </c>
    </row>
    <row r="22" spans="1:45" ht="15.75" thickBot="1" x14ac:dyDescent="0.3">
      <c r="A22" s="1"/>
      <c r="B22" s="32" t="s">
        <v>15</v>
      </c>
      <c r="C22" s="33">
        <v>119.99</v>
      </c>
      <c r="D22" s="1"/>
      <c r="E22" s="1"/>
      <c r="F22" s="1"/>
      <c r="G22" s="1"/>
      <c r="H22" s="1"/>
      <c r="I22" s="1"/>
      <c r="J22" s="27">
        <v>2035</v>
      </c>
      <c r="K22" s="28">
        <f t="shared" si="18"/>
        <v>0.83063801157681261</v>
      </c>
      <c r="L22" s="29">
        <f t="shared" si="5"/>
        <v>1190169.840133779</v>
      </c>
      <c r="M22" s="67">
        <f t="shared" si="6"/>
        <v>1155643.3744169748</v>
      </c>
      <c r="N22" s="30">
        <f t="shared" si="19"/>
        <v>7332.7625267093563</v>
      </c>
      <c r="O22" s="332">
        <f t="shared" si="20"/>
        <v>193159520.07167146</v>
      </c>
      <c r="P22" s="419">
        <f t="shared" si="21"/>
        <v>12347970.301989593</v>
      </c>
      <c r="Q22" s="332">
        <f t="shared" si="22"/>
        <v>10464073.717601236</v>
      </c>
      <c r="R22" s="332">
        <f t="shared" si="7"/>
        <v>6438730.2113254517</v>
      </c>
      <c r="S22" s="332">
        <f t="shared" si="8"/>
        <v>103894054.36105329</v>
      </c>
      <c r="T22" s="332" t="s">
        <v>47</v>
      </c>
      <c r="U22" s="334">
        <f t="shared" si="23"/>
        <v>84710632.083681047</v>
      </c>
      <c r="V22" s="334">
        <f t="shared" si="24"/>
        <v>1123831260.2421062</v>
      </c>
      <c r="AJ22" s="95">
        <f>NPV(T26,AJ5:AJ21)</f>
        <v>400931.20688305824</v>
      </c>
      <c r="AM22" s="158"/>
    </row>
    <row r="23" spans="1:45" ht="15.75" thickBot="1" x14ac:dyDescent="0.3">
      <c r="A23" s="1"/>
      <c r="B23" s="34" t="s">
        <v>44</v>
      </c>
      <c r="C23" s="35">
        <f>M34*(1+K25)*(1+K26)</f>
        <v>28192.758418652804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94"/>
    </row>
    <row r="24" spans="1:45" ht="15.75" thickBot="1" x14ac:dyDescent="0.3">
      <c r="A24" s="1"/>
      <c r="B24" s="34" t="s">
        <v>45</v>
      </c>
      <c r="C24" s="38">
        <f>O34*(1+K25)*(1+K26)</f>
        <v>4.9175309243578296</v>
      </c>
      <c r="D24" s="1"/>
      <c r="E24" s="763" t="s">
        <v>17</v>
      </c>
      <c r="F24" s="764"/>
      <c r="G24" s="765"/>
      <c r="H24" s="472"/>
      <c r="I24" s="1"/>
      <c r="J24" s="752" t="s">
        <v>40</v>
      </c>
      <c r="K24" s="753"/>
      <c r="L24" s="1"/>
      <c r="M24" s="1"/>
      <c r="N24" s="1"/>
      <c r="O24" s="1"/>
      <c r="P24" s="1"/>
      <c r="Q24" s="31"/>
      <c r="R24" s="31"/>
      <c r="S24" s="1"/>
      <c r="T24" s="1"/>
      <c r="U24" s="1"/>
      <c r="X24" s="761" t="s">
        <v>7</v>
      </c>
      <c r="Y24" s="738" t="s">
        <v>133</v>
      </c>
      <c r="Z24" s="736" t="s">
        <v>134</v>
      </c>
      <c r="AA24" s="734" t="s">
        <v>135</v>
      </c>
      <c r="AB24" s="738" t="s">
        <v>136</v>
      </c>
      <c r="AC24" s="736"/>
      <c r="AD24" s="734" t="s">
        <v>139</v>
      </c>
      <c r="AE24" s="738" t="s">
        <v>165</v>
      </c>
      <c r="AF24" s="736" t="s">
        <v>147</v>
      </c>
      <c r="AG24" s="734" t="s">
        <v>152</v>
      </c>
      <c r="AH24" s="732" t="s">
        <v>153</v>
      </c>
      <c r="AI24" s="732" t="s">
        <v>139</v>
      </c>
      <c r="AJ24" s="732" t="s">
        <v>154</v>
      </c>
      <c r="AK24" s="732" t="s">
        <v>155</v>
      </c>
      <c r="AL24" s="732" t="s">
        <v>156</v>
      </c>
      <c r="AM24" s="760"/>
      <c r="AO24" s="754" t="s">
        <v>166</v>
      </c>
      <c r="AP24" s="755"/>
      <c r="AQ24" s="755"/>
      <c r="AR24" s="755"/>
      <c r="AS24" s="756"/>
    </row>
    <row r="25" spans="1:45" ht="24.75" thickBot="1" x14ac:dyDescent="0.3">
      <c r="A25" s="1"/>
      <c r="B25" s="34" t="s">
        <v>50</v>
      </c>
      <c r="C25" s="38">
        <f>K34*(1+K25)*(1+K26)</f>
        <v>1131.6834412015535</v>
      </c>
      <c r="D25" s="1"/>
      <c r="E25" s="79" t="s">
        <v>7</v>
      </c>
      <c r="F25" s="80" t="s">
        <v>20</v>
      </c>
      <c r="G25" s="81" t="s">
        <v>18</v>
      </c>
      <c r="H25" s="48"/>
      <c r="I25" s="1"/>
      <c r="J25" s="56">
        <v>2016</v>
      </c>
      <c r="K25" s="58">
        <v>2.07E-2</v>
      </c>
      <c r="L25" s="1"/>
      <c r="M25" s="1"/>
      <c r="N25" s="1"/>
      <c r="O25" s="1"/>
      <c r="P25" s="1"/>
      <c r="Q25" s="1"/>
      <c r="R25" s="1"/>
      <c r="S25" s="752" t="s">
        <v>57</v>
      </c>
      <c r="T25" s="753"/>
      <c r="U25" s="294"/>
      <c r="X25" s="762"/>
      <c r="Y25" s="739"/>
      <c r="Z25" s="737"/>
      <c r="AA25" s="735"/>
      <c r="AB25" s="287" t="s">
        <v>137</v>
      </c>
      <c r="AC25" s="288" t="s">
        <v>138</v>
      </c>
      <c r="AD25" s="735"/>
      <c r="AE25" s="739"/>
      <c r="AF25" s="737"/>
      <c r="AG25" s="735"/>
      <c r="AH25" s="733"/>
      <c r="AI25" s="733"/>
      <c r="AJ25" s="733"/>
      <c r="AK25" s="733"/>
      <c r="AL25" s="733"/>
      <c r="AM25" s="760"/>
      <c r="AO25" s="268" t="s">
        <v>22</v>
      </c>
      <c r="AP25" s="291" t="s">
        <v>148</v>
      </c>
      <c r="AQ25" s="262" t="s">
        <v>149</v>
      </c>
      <c r="AR25" s="265"/>
      <c r="AS25" s="263" t="s">
        <v>152</v>
      </c>
    </row>
    <row r="26" spans="1:45" ht="15.75" thickBot="1" x14ac:dyDescent="0.3">
      <c r="A26" s="1"/>
      <c r="B26" s="39" t="s">
        <v>116</v>
      </c>
      <c r="C26" s="42">
        <v>7.8</v>
      </c>
      <c r="D26" s="1"/>
      <c r="E26" s="103">
        <v>2019</v>
      </c>
      <c r="F26" s="109">
        <v>8.66</v>
      </c>
      <c r="G26" s="475">
        <f t="shared" ref="G26:G42" si="26">F26*$E$14</f>
        <v>8.2080952199999994E-6</v>
      </c>
      <c r="H26" s="473"/>
      <c r="I26" s="1"/>
      <c r="J26" s="57">
        <v>2017</v>
      </c>
      <c r="K26" s="55">
        <v>2.1100000000000001E-2</v>
      </c>
      <c r="L26" s="1"/>
      <c r="M26" s="1"/>
      <c r="N26" s="1"/>
      <c r="O26" s="1"/>
      <c r="P26" s="1"/>
      <c r="Q26" s="1"/>
      <c r="R26" s="1"/>
      <c r="S26" s="32" t="s">
        <v>48</v>
      </c>
      <c r="T26" s="73">
        <v>0.12</v>
      </c>
      <c r="U26" s="1"/>
      <c r="X26" s="282">
        <v>0</v>
      </c>
      <c r="Y26" s="283"/>
      <c r="Z26" s="169"/>
      <c r="AA26" s="254">
        <f t="shared" ref="AA26:AA43" si="27">Y26-Z26</f>
        <v>0</v>
      </c>
      <c r="AB26" s="283"/>
      <c r="AC26" s="169"/>
      <c r="AD26" s="254">
        <f t="shared" ref="AD26:AD43" si="28">AB26+AC26</f>
        <v>0</v>
      </c>
      <c r="AE26" s="295"/>
      <c r="AF26" s="169"/>
      <c r="AG26" s="254">
        <f t="shared" ref="AG26:AG43" si="29">AS26</f>
        <v>0</v>
      </c>
      <c r="AH26" s="275">
        <f t="shared" ref="AH26:AH43" si="30">AF26-AG26</f>
        <v>0</v>
      </c>
      <c r="AI26" s="275"/>
      <c r="AJ26" s="275">
        <f>'Análisis Finan CCGT Nuevo'!K12*-1</f>
        <v>24341298.787279882</v>
      </c>
      <c r="AK26" s="275">
        <f>AH26+AI26-AJ26</f>
        <v>-24341298.787279882</v>
      </c>
      <c r="AL26" s="275">
        <f>AK26</f>
        <v>-24341298.787279882</v>
      </c>
      <c r="AM26" s="280"/>
      <c r="AO26" s="255">
        <v>0</v>
      </c>
      <c r="AP26" s="292"/>
      <c r="AQ26" s="161"/>
      <c r="AR26" s="266">
        <f>IF(AQ26&gt;0,1,0)</f>
        <v>0</v>
      </c>
      <c r="AS26" s="254">
        <f t="shared" ref="AS26:AS43" si="31">MIN(AP26:AQ26)*AR26*$S$60</f>
        <v>0</v>
      </c>
    </row>
    <row r="27" spans="1:45" x14ac:dyDescent="0.25">
      <c r="A27" s="1"/>
      <c r="D27" s="1"/>
      <c r="E27" s="43">
        <v>2020</v>
      </c>
      <c r="F27" s="36">
        <v>9.1999999999999993</v>
      </c>
      <c r="G27" s="476">
        <f t="shared" si="26"/>
        <v>8.7199163999999995E-6</v>
      </c>
      <c r="H27" s="474"/>
      <c r="I27" s="1"/>
      <c r="J27" s="59"/>
      <c r="K27" s="60"/>
      <c r="L27" s="1"/>
      <c r="M27" s="1"/>
      <c r="N27" s="1"/>
      <c r="O27" s="1"/>
      <c r="P27" s="1"/>
      <c r="Q27" s="1"/>
      <c r="R27" s="1"/>
      <c r="S27" s="34" t="s">
        <v>22</v>
      </c>
      <c r="T27" s="35">
        <v>17</v>
      </c>
      <c r="U27" s="1"/>
      <c r="X27" s="282">
        <v>1</v>
      </c>
      <c r="Y27" s="283">
        <f t="shared" ref="Y27:Y43" si="32">(O6+P6)/1000</f>
        <v>163621.11389718551</v>
      </c>
      <c r="Z27" s="169">
        <f t="shared" ref="Z27:Z43" si="33">(Q6+R6+S6)/1000</f>
        <v>93705.667784599776</v>
      </c>
      <c r="AA27" s="254">
        <f t="shared" si="27"/>
        <v>69915.446112585734</v>
      </c>
      <c r="AB27" s="283">
        <f>U57</f>
        <v>14623.289765742291</v>
      </c>
      <c r="AC27" s="169">
        <f>U58</f>
        <v>1943.6018043075194</v>
      </c>
      <c r="AD27" s="254">
        <f t="shared" si="28"/>
        <v>16566.891570049811</v>
      </c>
      <c r="AE27" s="284">
        <f>'Análisis Finan CCGT Nuevo'!I13</f>
        <v>19810043.960143797</v>
      </c>
      <c r="AF27" s="169">
        <f t="shared" ref="AF27:AF43" si="34">AA27-AD27-AE27</f>
        <v>-19756695.405601259</v>
      </c>
      <c r="AG27" s="254">
        <f t="shared" si="29"/>
        <v>0</v>
      </c>
      <c r="AH27" s="275">
        <f t="shared" si="30"/>
        <v>-19756695.405601259</v>
      </c>
      <c r="AI27" s="275">
        <f t="shared" ref="AI27:AI43" si="35">AD27</f>
        <v>16566.891570049811</v>
      </c>
      <c r="AJ27" s="275"/>
      <c r="AK27" s="275">
        <f t="shared" ref="AK27:AK43" si="36">AH27+AI27+AJ27</f>
        <v>-19740128.514031209</v>
      </c>
      <c r="AL27" s="275">
        <f t="shared" ref="AL27:AL43" si="37">AL26+AK27</f>
        <v>-44081427.301311091</v>
      </c>
      <c r="AM27" s="280"/>
      <c r="AO27" s="255">
        <v>1</v>
      </c>
      <c r="AP27" s="242">
        <f t="shared" ref="AP27:AP43" si="38">AF27</f>
        <v>-19756695.405601259</v>
      </c>
      <c r="AQ27" s="243">
        <f t="shared" ref="AQ27:AQ43" si="39">AP27+AQ26</f>
        <v>-19756695.405601259</v>
      </c>
      <c r="AR27" s="266">
        <f t="shared" ref="AR27:AR43" si="40">IF(AQ27&gt;0,1,0)</f>
        <v>0</v>
      </c>
      <c r="AS27" s="254">
        <f t="shared" si="31"/>
        <v>0</v>
      </c>
    </row>
    <row r="28" spans="1:45" x14ac:dyDescent="0.25">
      <c r="A28" s="1"/>
      <c r="D28" s="1"/>
      <c r="E28" s="43">
        <v>2021</v>
      </c>
      <c r="F28" s="36">
        <v>9.61</v>
      </c>
      <c r="G28" s="476">
        <f t="shared" si="26"/>
        <v>9.1085213699999987E-6</v>
      </c>
      <c r="H28" s="474"/>
      <c r="I28" s="1"/>
      <c r="J28" s="1"/>
      <c r="K28" s="1"/>
      <c r="L28" s="1"/>
      <c r="M28" s="1"/>
      <c r="N28" s="1"/>
      <c r="O28" s="1"/>
      <c r="P28" s="1"/>
      <c r="Q28" s="1"/>
      <c r="R28" s="1"/>
      <c r="S28" s="34" t="s">
        <v>49</v>
      </c>
      <c r="T28" s="74">
        <f>NPV(T26,U6:U22)+U5</f>
        <v>346312829.55097818</v>
      </c>
      <c r="U28" s="294"/>
      <c r="V28" s="95"/>
      <c r="X28" s="282">
        <v>2</v>
      </c>
      <c r="Y28" s="283">
        <f t="shared" si="32"/>
        <v>168767.38279887434</v>
      </c>
      <c r="Z28" s="169">
        <f t="shared" si="33"/>
        <v>98081.811414851691</v>
      </c>
      <c r="AA28" s="254">
        <f t="shared" si="27"/>
        <v>70685.571384022653</v>
      </c>
      <c r="AB28" s="283">
        <f t="shared" ref="AB28:AB36" si="41">AB27</f>
        <v>14623.289765742291</v>
      </c>
      <c r="AC28" s="169">
        <f t="shared" ref="AC28:AC36" si="42">AC27</f>
        <v>1943.6018043075194</v>
      </c>
      <c r="AD28" s="254">
        <f t="shared" si="28"/>
        <v>16566.891570049811</v>
      </c>
      <c r="AE28" s="284">
        <f>'Análisis Finan CCGT Nuevo'!I14</f>
        <v>19810043.960143797</v>
      </c>
      <c r="AF28" s="169">
        <f t="shared" si="34"/>
        <v>-19755925.280329823</v>
      </c>
      <c r="AG28" s="254">
        <f t="shared" si="29"/>
        <v>0</v>
      </c>
      <c r="AH28" s="275">
        <f t="shared" si="30"/>
        <v>-19755925.280329823</v>
      </c>
      <c r="AI28" s="275">
        <f t="shared" si="35"/>
        <v>16566.891570049811</v>
      </c>
      <c r="AJ28" s="275"/>
      <c r="AK28" s="275">
        <f t="shared" si="36"/>
        <v>-19739358.388759773</v>
      </c>
      <c r="AL28" s="275">
        <f t="shared" si="37"/>
        <v>-63820785.690070868</v>
      </c>
      <c r="AM28" s="280"/>
      <c r="AO28" s="255">
        <v>2</v>
      </c>
      <c r="AP28" s="242">
        <f t="shared" si="38"/>
        <v>-19755925.280329823</v>
      </c>
      <c r="AQ28" s="243">
        <f t="shared" si="39"/>
        <v>-39512620.685931087</v>
      </c>
      <c r="AR28" s="266">
        <f t="shared" si="40"/>
        <v>0</v>
      </c>
      <c r="AS28" s="254">
        <f t="shared" si="31"/>
        <v>0</v>
      </c>
    </row>
    <row r="29" spans="1:45" ht="15.75" thickBot="1" x14ac:dyDescent="0.3">
      <c r="A29" s="1"/>
      <c r="D29" s="1"/>
      <c r="E29" s="43">
        <v>2022</v>
      </c>
      <c r="F29" s="36">
        <v>9.93</v>
      </c>
      <c r="G29" s="476">
        <f t="shared" si="26"/>
        <v>9.4118228099999998E-6</v>
      </c>
      <c r="H29" s="474"/>
      <c r="I29" s="1"/>
      <c r="J29" s="1"/>
      <c r="K29" s="1"/>
      <c r="L29" s="1"/>
      <c r="M29" s="1"/>
      <c r="N29" s="1"/>
      <c r="O29" s="1"/>
      <c r="P29" s="1"/>
      <c r="Q29" s="1"/>
      <c r="R29" s="1"/>
      <c r="S29" s="34" t="s">
        <v>51</v>
      </c>
      <c r="T29" s="74">
        <f>-PMT(T26,T27,T28)</f>
        <v>48641966.732469179</v>
      </c>
      <c r="U29" s="1"/>
      <c r="V29" s="95"/>
      <c r="X29" s="282">
        <v>3</v>
      </c>
      <c r="Y29" s="283">
        <f t="shared" si="32"/>
        <v>172790.34945674308</v>
      </c>
      <c r="Z29" s="169">
        <f t="shared" si="33"/>
        <v>101296.6335617466</v>
      </c>
      <c r="AA29" s="254">
        <f t="shared" si="27"/>
        <v>71493.71589499648</v>
      </c>
      <c r="AB29" s="283">
        <f t="shared" si="41"/>
        <v>14623.289765742291</v>
      </c>
      <c r="AC29" s="169">
        <f t="shared" si="42"/>
        <v>1943.6018043075194</v>
      </c>
      <c r="AD29" s="254">
        <f t="shared" si="28"/>
        <v>16566.891570049811</v>
      </c>
      <c r="AE29" s="284">
        <f>'Análisis Finan CCGT Nuevo'!I15</f>
        <v>19810043.960143797</v>
      </c>
      <c r="AF29" s="169">
        <f t="shared" si="34"/>
        <v>-19755117.13581885</v>
      </c>
      <c r="AG29" s="254">
        <f t="shared" si="29"/>
        <v>0</v>
      </c>
      <c r="AH29" s="275">
        <f t="shared" si="30"/>
        <v>-19755117.13581885</v>
      </c>
      <c r="AI29" s="275">
        <f t="shared" si="35"/>
        <v>16566.891570049811</v>
      </c>
      <c r="AJ29" s="275"/>
      <c r="AK29" s="275">
        <f t="shared" si="36"/>
        <v>-19738550.2442488</v>
      </c>
      <c r="AL29" s="275">
        <f t="shared" si="37"/>
        <v>-83559335.934319675</v>
      </c>
      <c r="AM29" s="280"/>
      <c r="AO29" s="255">
        <v>3</v>
      </c>
      <c r="AP29" s="242">
        <f t="shared" si="38"/>
        <v>-19755117.13581885</v>
      </c>
      <c r="AQ29" s="243">
        <f t="shared" si="39"/>
        <v>-59267737.821749941</v>
      </c>
      <c r="AR29" s="266">
        <f t="shared" si="40"/>
        <v>0</v>
      </c>
      <c r="AS29" s="254">
        <f t="shared" si="31"/>
        <v>0</v>
      </c>
    </row>
    <row r="30" spans="1:45" ht="15.75" thickBot="1" x14ac:dyDescent="0.3">
      <c r="A30" s="77" t="s">
        <v>7</v>
      </c>
      <c r="B30" s="78" t="s">
        <v>39</v>
      </c>
      <c r="C30" s="1"/>
      <c r="D30" s="1"/>
      <c r="E30" s="43">
        <v>2023</v>
      </c>
      <c r="F30" s="36">
        <v>10.119999999999999</v>
      </c>
      <c r="G30" s="476">
        <f t="shared" si="26"/>
        <v>9.59190804E-6</v>
      </c>
      <c r="H30" s="474"/>
      <c r="I30" s="1"/>
      <c r="J30" s="752" t="s">
        <v>33</v>
      </c>
      <c r="K30" s="753"/>
      <c r="L30" s="752" t="s">
        <v>34</v>
      </c>
      <c r="M30" s="753"/>
      <c r="N30" s="752" t="s">
        <v>37</v>
      </c>
      <c r="O30" s="753"/>
      <c r="P30" s="163"/>
      <c r="Q30" s="1"/>
      <c r="R30" s="1"/>
      <c r="S30" s="34" t="s">
        <v>52</v>
      </c>
      <c r="T30" s="75">
        <f>NPV(T26,U6:U22)/-U5</f>
        <v>2.8709000486757796</v>
      </c>
      <c r="U30" s="1"/>
      <c r="V30">
        <v>2.8709000486757796</v>
      </c>
      <c r="X30" s="282">
        <v>4</v>
      </c>
      <c r="Y30" s="283">
        <f t="shared" si="32"/>
        <v>176041.71474689301</v>
      </c>
      <c r="Z30" s="169">
        <f t="shared" si="33"/>
        <v>103708.52559632204</v>
      </c>
      <c r="AA30" s="254">
        <f t="shared" si="27"/>
        <v>72333.189150570965</v>
      </c>
      <c r="AB30" s="283">
        <f t="shared" si="41"/>
        <v>14623.289765742291</v>
      </c>
      <c r="AC30" s="169">
        <f t="shared" si="42"/>
        <v>1943.6018043075194</v>
      </c>
      <c r="AD30" s="254">
        <f t="shared" si="28"/>
        <v>16566.891570049811</v>
      </c>
      <c r="AE30" s="284">
        <f>'Análisis Finan CCGT Nuevo'!I16</f>
        <v>19810043.960143797</v>
      </c>
      <c r="AF30" s="169">
        <f t="shared" si="34"/>
        <v>-19754277.662563276</v>
      </c>
      <c r="AG30" s="254">
        <f t="shared" si="29"/>
        <v>0</v>
      </c>
      <c r="AH30" s="275">
        <f t="shared" si="30"/>
        <v>-19754277.662563276</v>
      </c>
      <c r="AI30" s="275">
        <f t="shared" si="35"/>
        <v>16566.891570049811</v>
      </c>
      <c r="AJ30" s="275"/>
      <c r="AK30" s="275">
        <f t="shared" si="36"/>
        <v>-19737710.770993225</v>
      </c>
      <c r="AL30" s="275">
        <f t="shared" si="37"/>
        <v>-103297046.70531291</v>
      </c>
      <c r="AM30" s="280"/>
      <c r="AO30" s="255">
        <v>4</v>
      </c>
      <c r="AP30" s="242">
        <f t="shared" si="38"/>
        <v>-19754277.662563276</v>
      </c>
      <c r="AQ30" s="243">
        <f t="shared" si="39"/>
        <v>-79022015.48431322</v>
      </c>
      <c r="AR30" s="266">
        <f t="shared" si="40"/>
        <v>0</v>
      </c>
      <c r="AS30" s="254">
        <f t="shared" si="31"/>
        <v>0</v>
      </c>
    </row>
    <row r="31" spans="1:45" x14ac:dyDescent="0.25">
      <c r="A31" s="103">
        <v>2019</v>
      </c>
      <c r="B31" s="113">
        <v>119.98774996050339</v>
      </c>
      <c r="C31" s="1"/>
      <c r="D31" s="1"/>
      <c r="E31" s="43">
        <v>2024</v>
      </c>
      <c r="F31" s="36">
        <v>10.3</v>
      </c>
      <c r="G31" s="476">
        <f t="shared" si="26"/>
        <v>9.7625151000000011E-6</v>
      </c>
      <c r="H31" s="474"/>
      <c r="I31" s="1"/>
      <c r="J31" s="32" t="s">
        <v>28</v>
      </c>
      <c r="K31" s="33">
        <v>285.7</v>
      </c>
      <c r="L31" s="32" t="s">
        <v>28</v>
      </c>
      <c r="M31" s="33">
        <v>285.7</v>
      </c>
      <c r="N31" s="32" t="s">
        <v>28</v>
      </c>
      <c r="O31" s="33">
        <v>285.7</v>
      </c>
      <c r="P31" s="161"/>
      <c r="Q31" s="1"/>
      <c r="R31" s="1"/>
      <c r="S31" s="34" t="s">
        <v>53</v>
      </c>
      <c r="T31" s="54">
        <f>IRR(U5:U22)</f>
        <v>0.38759609306158271</v>
      </c>
      <c r="U31" s="1"/>
      <c r="X31" s="282">
        <v>5</v>
      </c>
      <c r="Y31" s="283">
        <f t="shared" si="32"/>
        <v>178200.10628587767</v>
      </c>
      <c r="Z31" s="169">
        <f t="shared" si="33"/>
        <v>104980.69163009642</v>
      </c>
      <c r="AA31" s="254">
        <f t="shared" si="27"/>
        <v>73219.414655781249</v>
      </c>
      <c r="AB31" s="283">
        <f t="shared" si="41"/>
        <v>14623.289765742291</v>
      </c>
      <c r="AC31" s="169">
        <f t="shared" si="42"/>
        <v>1943.6018043075194</v>
      </c>
      <c r="AD31" s="254">
        <f t="shared" si="28"/>
        <v>16566.891570049811</v>
      </c>
      <c r="AE31" s="284">
        <f>'Análisis Finan CCGT Nuevo'!I17</f>
        <v>19810043.960143797</v>
      </c>
      <c r="AF31" s="169">
        <f t="shared" si="34"/>
        <v>-19753391.437058065</v>
      </c>
      <c r="AG31" s="254">
        <f t="shared" si="29"/>
        <v>0</v>
      </c>
      <c r="AH31" s="275">
        <f t="shared" si="30"/>
        <v>-19753391.437058065</v>
      </c>
      <c r="AI31" s="275">
        <f t="shared" si="35"/>
        <v>16566.891570049811</v>
      </c>
      <c r="AJ31" s="275"/>
      <c r="AK31" s="275">
        <f t="shared" si="36"/>
        <v>-19736824.545488015</v>
      </c>
      <c r="AL31" s="275">
        <f t="shared" si="37"/>
        <v>-123033871.25080092</v>
      </c>
      <c r="AM31" s="280"/>
      <c r="AO31" s="255">
        <v>5</v>
      </c>
      <c r="AP31" s="242">
        <f t="shared" si="38"/>
        <v>-19753391.437058065</v>
      </c>
      <c r="AQ31" s="243">
        <f t="shared" si="39"/>
        <v>-98775406.921371281</v>
      </c>
      <c r="AR31" s="266">
        <f t="shared" si="40"/>
        <v>0</v>
      </c>
      <c r="AS31" s="254">
        <f t="shared" si="31"/>
        <v>0</v>
      </c>
    </row>
    <row r="32" spans="1:45" x14ac:dyDescent="0.25">
      <c r="A32" s="43">
        <v>2020</v>
      </c>
      <c r="B32" s="102">
        <v>124.77501288291234</v>
      </c>
      <c r="C32" s="1"/>
      <c r="D32" s="1"/>
      <c r="E32" s="43">
        <v>2025</v>
      </c>
      <c r="F32" s="36">
        <v>10.61</v>
      </c>
      <c r="G32" s="476">
        <f t="shared" si="26"/>
        <v>1.005633837E-5</v>
      </c>
      <c r="H32" s="474"/>
      <c r="I32" s="1"/>
      <c r="J32" s="34" t="s">
        <v>29</v>
      </c>
      <c r="K32" s="35">
        <f>E4</f>
        <v>163.566</v>
      </c>
      <c r="L32" s="34" t="s">
        <v>29</v>
      </c>
      <c r="M32" s="35">
        <f>E4</f>
        <v>163.566</v>
      </c>
      <c r="N32" s="34" t="s">
        <v>29</v>
      </c>
      <c r="O32" s="35">
        <f>E4</f>
        <v>163.566</v>
      </c>
      <c r="P32" s="161"/>
      <c r="Q32" s="1"/>
      <c r="R32" s="1"/>
      <c r="S32" s="34" t="s">
        <v>54</v>
      </c>
      <c r="T32" s="54">
        <f>MIRR(U5:U22,T31,T26)</f>
        <v>0.19168167822219795</v>
      </c>
      <c r="U32" s="1"/>
      <c r="X32" s="282">
        <v>6</v>
      </c>
      <c r="Y32" s="283">
        <f t="shared" si="32"/>
        <v>180276.46746583609</v>
      </c>
      <c r="Z32" s="169">
        <f t="shared" si="33"/>
        <v>106156.76562526078</v>
      </c>
      <c r="AA32" s="254">
        <f t="shared" si="27"/>
        <v>74119.701840575304</v>
      </c>
      <c r="AB32" s="283">
        <f t="shared" si="41"/>
        <v>14623.289765742291</v>
      </c>
      <c r="AC32" s="169">
        <f t="shared" si="42"/>
        <v>1943.6018043075194</v>
      </c>
      <c r="AD32" s="254">
        <f t="shared" si="28"/>
        <v>16566.891570049811</v>
      </c>
      <c r="AE32" s="284">
        <f>'Análisis Finan CCGT Nuevo'!I18</f>
        <v>19810043.960143797</v>
      </c>
      <c r="AF32" s="169">
        <f t="shared" si="34"/>
        <v>-19752491.149873272</v>
      </c>
      <c r="AG32" s="254">
        <f t="shared" si="29"/>
        <v>0</v>
      </c>
      <c r="AH32" s="275">
        <f t="shared" si="30"/>
        <v>-19752491.149873272</v>
      </c>
      <c r="AI32" s="275">
        <f t="shared" si="35"/>
        <v>16566.891570049811</v>
      </c>
      <c r="AJ32" s="275"/>
      <c r="AK32" s="275">
        <f t="shared" si="36"/>
        <v>-19735924.258303221</v>
      </c>
      <c r="AL32" s="275">
        <f t="shared" si="37"/>
        <v>-142769795.50910413</v>
      </c>
      <c r="AM32" s="280"/>
      <c r="AO32" s="255">
        <v>6</v>
      </c>
      <c r="AP32" s="242">
        <f t="shared" si="38"/>
        <v>-19752491.149873272</v>
      </c>
      <c r="AQ32" s="243">
        <f t="shared" si="39"/>
        <v>-118527898.07124455</v>
      </c>
      <c r="AR32" s="266">
        <f t="shared" si="40"/>
        <v>0</v>
      </c>
      <c r="AS32" s="254">
        <f t="shared" si="31"/>
        <v>0</v>
      </c>
    </row>
    <row r="33" spans="1:45" ht="15.75" thickBot="1" x14ac:dyDescent="0.3">
      <c r="A33" s="43">
        <v>2021</v>
      </c>
      <c r="B33" s="102">
        <v>128.70094797275627</v>
      </c>
      <c r="C33" s="1"/>
      <c r="D33" s="1"/>
      <c r="E33" s="43">
        <v>2026</v>
      </c>
      <c r="F33" s="36">
        <v>10.89</v>
      </c>
      <c r="G33" s="476">
        <f t="shared" si="26"/>
        <v>1.032172713E-5</v>
      </c>
      <c r="H33" s="474"/>
      <c r="I33" s="1"/>
      <c r="J33" s="34" t="s">
        <v>30</v>
      </c>
      <c r="K33" s="35">
        <v>695</v>
      </c>
      <c r="L33" s="34" t="s">
        <v>35</v>
      </c>
      <c r="M33" s="35">
        <v>17314</v>
      </c>
      <c r="N33" s="34" t="s">
        <v>38</v>
      </c>
      <c r="O33" s="35">
        <v>3.02</v>
      </c>
      <c r="P33" s="161"/>
      <c r="Q33" s="1"/>
      <c r="R33" s="1"/>
      <c r="S33" s="39" t="s">
        <v>56</v>
      </c>
      <c r="T33" s="40">
        <f>2-V7/(-V7+V8)</f>
        <v>2.622487105192969</v>
      </c>
      <c r="U33" s="1"/>
      <c r="X33" s="282">
        <v>7</v>
      </c>
      <c r="Y33" s="283">
        <f t="shared" si="32"/>
        <v>183426.58624450272</v>
      </c>
      <c r="Z33" s="169">
        <f t="shared" si="33"/>
        <v>108437.17566124885</v>
      </c>
      <c r="AA33" s="254">
        <f t="shared" si="27"/>
        <v>74989.410583253863</v>
      </c>
      <c r="AB33" s="283">
        <f t="shared" si="41"/>
        <v>14623.289765742291</v>
      </c>
      <c r="AC33" s="169">
        <f t="shared" si="42"/>
        <v>1943.6018043075194</v>
      </c>
      <c r="AD33" s="254">
        <f t="shared" si="28"/>
        <v>16566.891570049811</v>
      </c>
      <c r="AE33" s="284">
        <f>'Análisis Finan CCGT Nuevo'!I19</f>
        <v>19810043.960143797</v>
      </c>
      <c r="AF33" s="169">
        <f t="shared" si="34"/>
        <v>-19751621.441130593</v>
      </c>
      <c r="AG33" s="254">
        <f t="shared" si="29"/>
        <v>0</v>
      </c>
      <c r="AH33" s="275">
        <f t="shared" si="30"/>
        <v>-19751621.441130593</v>
      </c>
      <c r="AI33" s="275">
        <f t="shared" si="35"/>
        <v>16566.891570049811</v>
      </c>
      <c r="AJ33" s="275"/>
      <c r="AK33" s="275">
        <f t="shared" si="36"/>
        <v>-19735054.549560543</v>
      </c>
      <c r="AL33" s="275">
        <f t="shared" si="37"/>
        <v>-162504850.05866468</v>
      </c>
      <c r="AM33" s="280"/>
      <c r="AO33" s="255">
        <v>7</v>
      </c>
      <c r="AP33" s="242">
        <f t="shared" si="38"/>
        <v>-19751621.441130593</v>
      </c>
      <c r="AQ33" s="243">
        <f t="shared" si="39"/>
        <v>-138279519.51237515</v>
      </c>
      <c r="AR33" s="266">
        <f t="shared" si="40"/>
        <v>0</v>
      </c>
      <c r="AS33" s="254">
        <f t="shared" si="31"/>
        <v>0</v>
      </c>
    </row>
    <row r="34" spans="1:45" x14ac:dyDescent="0.25">
      <c r="A34" s="43">
        <v>2022</v>
      </c>
      <c r="B34" s="102">
        <v>132.03735874063298</v>
      </c>
      <c r="C34" s="1"/>
      <c r="D34" s="1"/>
      <c r="E34" s="43">
        <v>2027</v>
      </c>
      <c r="F34" s="36">
        <v>11.07</v>
      </c>
      <c r="G34" s="476">
        <f t="shared" si="26"/>
        <v>1.0492334190000001E-5</v>
      </c>
      <c r="H34" s="474"/>
      <c r="I34" s="1"/>
      <c r="J34" s="34" t="s">
        <v>41</v>
      </c>
      <c r="K34" s="41">
        <f>K33/(K36^K35)</f>
        <v>1085.8218341323284</v>
      </c>
      <c r="L34" s="34" t="s">
        <v>42</v>
      </c>
      <c r="M34" s="41">
        <f>M33/(M36^M35)</f>
        <v>27050.243505276452</v>
      </c>
      <c r="N34" s="34" t="s">
        <v>43</v>
      </c>
      <c r="O34" s="41">
        <f>O33/(O36^O35)</f>
        <v>4.7182473943591825</v>
      </c>
      <c r="P34" s="162"/>
      <c r="Q34" s="1"/>
      <c r="R34" s="1"/>
      <c r="S34" s="1"/>
      <c r="T34" s="1"/>
      <c r="U34" s="1"/>
      <c r="X34" s="282">
        <v>8</v>
      </c>
      <c r="Y34" s="283">
        <f t="shared" si="32"/>
        <v>186322.14041196156</v>
      </c>
      <c r="Z34" s="169">
        <f t="shared" si="33"/>
        <v>110444.24090875164</v>
      </c>
      <c r="AA34" s="254">
        <f t="shared" si="27"/>
        <v>75877.899503209919</v>
      </c>
      <c r="AB34" s="283">
        <f t="shared" si="41"/>
        <v>14623.289765742291</v>
      </c>
      <c r="AC34" s="169">
        <f t="shared" si="42"/>
        <v>1943.6018043075194</v>
      </c>
      <c r="AD34" s="254">
        <f t="shared" si="28"/>
        <v>16566.891570049811</v>
      </c>
      <c r="AE34" s="284">
        <f>'Análisis Finan CCGT Nuevo'!I20</f>
        <v>19810043.960143797</v>
      </c>
      <c r="AF34" s="169">
        <f t="shared" si="34"/>
        <v>-19750732.952210639</v>
      </c>
      <c r="AG34" s="254">
        <f t="shared" si="29"/>
        <v>0</v>
      </c>
      <c r="AH34" s="275">
        <f t="shared" si="30"/>
        <v>-19750732.952210639</v>
      </c>
      <c r="AI34" s="275">
        <f t="shared" si="35"/>
        <v>16566.891570049811</v>
      </c>
      <c r="AJ34" s="275"/>
      <c r="AK34" s="275">
        <f t="shared" si="36"/>
        <v>-19734166.060640588</v>
      </c>
      <c r="AL34" s="275">
        <f t="shared" si="37"/>
        <v>-182239016.11930525</v>
      </c>
      <c r="AM34" s="280"/>
      <c r="AO34" s="255">
        <v>8</v>
      </c>
      <c r="AP34" s="242">
        <f t="shared" si="38"/>
        <v>-19750732.952210639</v>
      </c>
      <c r="AQ34" s="243">
        <f t="shared" si="39"/>
        <v>-158030252.46458578</v>
      </c>
      <c r="AR34" s="266">
        <f t="shared" si="40"/>
        <v>0</v>
      </c>
      <c r="AS34" s="254">
        <f t="shared" si="31"/>
        <v>0</v>
      </c>
    </row>
    <row r="35" spans="1:45" x14ac:dyDescent="0.25">
      <c r="A35" s="43">
        <v>2023</v>
      </c>
      <c r="B35" s="102">
        <v>134.51322216923819</v>
      </c>
      <c r="C35" s="1"/>
      <c r="D35" s="1"/>
      <c r="E35" s="43">
        <v>2028</v>
      </c>
      <c r="F35" s="36">
        <v>11.15</v>
      </c>
      <c r="G35" s="476">
        <f t="shared" si="26"/>
        <v>1.056815955E-5</v>
      </c>
      <c r="H35" s="474"/>
      <c r="I35" s="1"/>
      <c r="J35" s="34" t="s">
        <v>31</v>
      </c>
      <c r="K35" s="35">
        <v>0.8</v>
      </c>
      <c r="L35" s="34" t="s">
        <v>31</v>
      </c>
      <c r="M35" s="35">
        <v>0.8</v>
      </c>
      <c r="N35" s="34" t="s">
        <v>31</v>
      </c>
      <c r="O35" s="35">
        <v>0.8</v>
      </c>
      <c r="P35" s="161"/>
      <c r="Q35" s="1"/>
      <c r="R35" s="1"/>
      <c r="S35" s="1"/>
      <c r="T35" s="1"/>
      <c r="U35" s="1"/>
      <c r="X35" s="282">
        <v>9</v>
      </c>
      <c r="Y35" s="283">
        <f t="shared" si="32"/>
        <v>188525.11720114425</v>
      </c>
      <c r="Z35" s="169">
        <f t="shared" si="33"/>
        <v>111585.21469352159</v>
      </c>
      <c r="AA35" s="254">
        <f t="shared" si="27"/>
        <v>76939.902507622668</v>
      </c>
      <c r="AB35" s="283">
        <f t="shared" si="41"/>
        <v>14623.289765742291</v>
      </c>
      <c r="AC35" s="169">
        <f t="shared" si="42"/>
        <v>1943.6018043075194</v>
      </c>
      <c r="AD35" s="254">
        <f t="shared" si="28"/>
        <v>16566.891570049811</v>
      </c>
      <c r="AE35" s="284">
        <f>'Análisis Finan CCGT Nuevo'!I21</f>
        <v>19810043.960143797</v>
      </c>
      <c r="AF35" s="169">
        <f t="shared" si="34"/>
        <v>-19749670.949206226</v>
      </c>
      <c r="AG35" s="254">
        <f t="shared" si="29"/>
        <v>0</v>
      </c>
      <c r="AH35" s="275">
        <f t="shared" si="30"/>
        <v>-19749670.949206226</v>
      </c>
      <c r="AI35" s="275">
        <f t="shared" si="35"/>
        <v>16566.891570049811</v>
      </c>
      <c r="AJ35" s="275"/>
      <c r="AK35" s="275">
        <f t="shared" si="36"/>
        <v>-19733104.057636175</v>
      </c>
      <c r="AL35" s="275">
        <f t="shared" si="37"/>
        <v>-201972120.17694142</v>
      </c>
      <c r="AM35" s="280"/>
      <c r="AO35" s="255">
        <v>9</v>
      </c>
      <c r="AP35" s="242">
        <f t="shared" si="38"/>
        <v>-19749670.949206226</v>
      </c>
      <c r="AQ35" s="243">
        <f t="shared" si="39"/>
        <v>-177779923.41379201</v>
      </c>
      <c r="AR35" s="266">
        <f t="shared" si="40"/>
        <v>0</v>
      </c>
      <c r="AS35" s="254">
        <f t="shared" si="31"/>
        <v>0</v>
      </c>
    </row>
    <row r="36" spans="1:45" ht="15.75" thickBot="1" x14ac:dyDescent="0.3">
      <c r="A36" s="43">
        <v>2024</v>
      </c>
      <c r="B36" s="102">
        <v>136.94319010545522</v>
      </c>
      <c r="C36" s="1"/>
      <c r="D36" s="1"/>
      <c r="E36" s="43">
        <v>2029</v>
      </c>
      <c r="F36" s="36">
        <v>11.32</v>
      </c>
      <c r="G36" s="476">
        <f t="shared" si="26"/>
        <v>1.072928844E-5</v>
      </c>
      <c r="H36" s="474"/>
      <c r="I36" s="1"/>
      <c r="J36" s="39" t="s">
        <v>32</v>
      </c>
      <c r="K36" s="42">
        <f>K32/K31</f>
        <v>0.57250962548127404</v>
      </c>
      <c r="L36" s="39" t="s">
        <v>36</v>
      </c>
      <c r="M36" s="42">
        <f>M32/M31</f>
        <v>0.57250962548127404</v>
      </c>
      <c r="N36" s="39" t="s">
        <v>36</v>
      </c>
      <c r="O36" s="42">
        <f>O32/O31</f>
        <v>0.57250962548127404</v>
      </c>
      <c r="P36" s="161"/>
      <c r="Q36" s="1"/>
      <c r="R36" s="1"/>
      <c r="S36" s="1"/>
      <c r="T36" s="1"/>
      <c r="U36" s="1"/>
      <c r="X36" s="282">
        <v>10</v>
      </c>
      <c r="Y36" s="283">
        <f t="shared" si="32"/>
        <v>189660.27272417652</v>
      </c>
      <c r="Z36" s="169">
        <f t="shared" si="33"/>
        <v>111869.13186370143</v>
      </c>
      <c r="AA36" s="254">
        <f t="shared" si="27"/>
        <v>77791.14086047509</v>
      </c>
      <c r="AB36" s="283">
        <f t="shared" si="41"/>
        <v>14623.289765742291</v>
      </c>
      <c r="AC36" s="169">
        <f t="shared" si="42"/>
        <v>1943.6018043075194</v>
      </c>
      <c r="AD36" s="254">
        <f t="shared" si="28"/>
        <v>16566.891570049811</v>
      </c>
      <c r="AE36" s="284">
        <f>'Análisis Finan CCGT Nuevo'!I22</f>
        <v>19810043.960143797</v>
      </c>
      <c r="AF36" s="169">
        <f t="shared" si="34"/>
        <v>-19748819.710853372</v>
      </c>
      <c r="AG36" s="254">
        <f t="shared" si="29"/>
        <v>0</v>
      </c>
      <c r="AH36" s="275">
        <f t="shared" si="30"/>
        <v>-19748819.710853372</v>
      </c>
      <c r="AI36" s="275">
        <f t="shared" si="35"/>
        <v>16566.891570049811</v>
      </c>
      <c r="AJ36" s="275"/>
      <c r="AK36" s="275">
        <f t="shared" si="36"/>
        <v>-19732252.819283321</v>
      </c>
      <c r="AL36" s="275">
        <f t="shared" si="37"/>
        <v>-221704372.99622476</v>
      </c>
      <c r="AM36" s="280"/>
      <c r="AO36" s="255">
        <v>10</v>
      </c>
      <c r="AP36" s="242">
        <f t="shared" si="38"/>
        <v>-19748819.710853372</v>
      </c>
      <c r="AQ36" s="243">
        <f t="shared" si="39"/>
        <v>-197528743.12464538</v>
      </c>
      <c r="AR36" s="266">
        <f t="shared" si="40"/>
        <v>0</v>
      </c>
      <c r="AS36" s="254">
        <f t="shared" si="31"/>
        <v>0</v>
      </c>
    </row>
    <row r="37" spans="1:45" x14ac:dyDescent="0.25">
      <c r="A37" s="43">
        <v>2025</v>
      </c>
      <c r="B37" s="102">
        <v>140.27763033184516</v>
      </c>
      <c r="C37" s="1"/>
      <c r="D37" s="1"/>
      <c r="E37" s="43">
        <v>2030</v>
      </c>
      <c r="F37" s="36">
        <v>11.63</v>
      </c>
      <c r="G37" s="476">
        <f t="shared" si="26"/>
        <v>1.1023111710000001E-5</v>
      </c>
      <c r="H37" s="47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X37" s="282">
        <v>11</v>
      </c>
      <c r="Y37" s="283">
        <f t="shared" si="32"/>
        <v>191663.31974923456</v>
      </c>
      <c r="Z37" s="169">
        <f t="shared" si="33"/>
        <v>112910.09495686329</v>
      </c>
      <c r="AA37" s="254">
        <f t="shared" si="27"/>
        <v>78753.224792371271</v>
      </c>
      <c r="AB37" s="283">
        <v>0</v>
      </c>
      <c r="AC37" s="169">
        <f t="shared" ref="AC37:AC43" si="43">AC36</f>
        <v>1943.6018043075194</v>
      </c>
      <c r="AD37" s="254">
        <f t="shared" si="28"/>
        <v>1943.6018043075194</v>
      </c>
      <c r="AE37" s="283">
        <f>'Análisis Finan CCGT Nuevo'!I23</f>
        <v>0</v>
      </c>
      <c r="AF37" s="169">
        <f t="shared" si="34"/>
        <v>76809.622988063755</v>
      </c>
      <c r="AG37" s="254">
        <f t="shared" si="29"/>
        <v>0</v>
      </c>
      <c r="AH37" s="275">
        <f t="shared" si="30"/>
        <v>76809.622988063755</v>
      </c>
      <c r="AI37" s="275">
        <f t="shared" si="35"/>
        <v>1943.6018043075194</v>
      </c>
      <c r="AJ37" s="275"/>
      <c r="AK37" s="275">
        <f t="shared" si="36"/>
        <v>78753.224792371271</v>
      </c>
      <c r="AL37" s="275">
        <f t="shared" si="37"/>
        <v>-221625619.7714324</v>
      </c>
      <c r="AM37" s="280"/>
      <c r="AO37" s="255">
        <v>11</v>
      </c>
      <c r="AP37" s="242">
        <f t="shared" si="38"/>
        <v>76809.622988063755</v>
      </c>
      <c r="AQ37" s="243">
        <f t="shared" si="39"/>
        <v>-197451933.50165731</v>
      </c>
      <c r="AR37" s="266">
        <f t="shared" si="40"/>
        <v>0</v>
      </c>
      <c r="AS37" s="254">
        <f t="shared" si="31"/>
        <v>0</v>
      </c>
    </row>
    <row r="38" spans="1:45" x14ac:dyDescent="0.25">
      <c r="A38" s="43">
        <v>2026</v>
      </c>
      <c r="B38" s="102">
        <v>143.4312916981871</v>
      </c>
      <c r="C38" s="1"/>
      <c r="D38" s="1"/>
      <c r="E38" s="43">
        <v>2031</v>
      </c>
      <c r="F38" s="36">
        <v>11.91</v>
      </c>
      <c r="G38" s="476">
        <f t="shared" si="26"/>
        <v>1.1288500470000001E-5</v>
      </c>
      <c r="H38" s="47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X38" s="282">
        <v>12</v>
      </c>
      <c r="Y38" s="283">
        <f t="shared" si="32"/>
        <v>194796.33618437598</v>
      </c>
      <c r="Z38" s="169">
        <f t="shared" si="33"/>
        <v>115121.04410498303</v>
      </c>
      <c r="AA38" s="254">
        <f t="shared" si="27"/>
        <v>79675.292079392952</v>
      </c>
      <c r="AB38" s="283">
        <v>0</v>
      </c>
      <c r="AC38" s="169">
        <f t="shared" si="43"/>
        <v>1943.6018043075194</v>
      </c>
      <c r="AD38" s="254">
        <f t="shared" si="28"/>
        <v>1943.6018043075194</v>
      </c>
      <c r="AE38" s="283">
        <f>'Análisis Finan CCGT Nuevo'!I24</f>
        <v>0</v>
      </c>
      <c r="AF38" s="169">
        <f t="shared" si="34"/>
        <v>77731.690275085435</v>
      </c>
      <c r="AG38" s="254">
        <f t="shared" si="29"/>
        <v>0</v>
      </c>
      <c r="AH38" s="275">
        <f t="shared" si="30"/>
        <v>77731.690275085435</v>
      </c>
      <c r="AI38" s="275">
        <f t="shared" si="35"/>
        <v>1943.6018043075194</v>
      </c>
      <c r="AJ38" s="275"/>
      <c r="AK38" s="275">
        <f t="shared" si="36"/>
        <v>79675.292079392952</v>
      </c>
      <c r="AL38" s="275">
        <f t="shared" si="37"/>
        <v>-221545944.47935301</v>
      </c>
      <c r="AM38" s="280"/>
      <c r="AO38" s="255">
        <v>12</v>
      </c>
      <c r="AP38" s="242">
        <f t="shared" si="38"/>
        <v>77731.690275085435</v>
      </c>
      <c r="AQ38" s="243">
        <f t="shared" si="39"/>
        <v>-197374201.81138223</v>
      </c>
      <c r="AR38" s="266">
        <f t="shared" si="40"/>
        <v>0</v>
      </c>
      <c r="AS38" s="254">
        <f t="shared" si="31"/>
        <v>0</v>
      </c>
    </row>
    <row r="39" spans="1:45" x14ac:dyDescent="0.25">
      <c r="A39" s="43">
        <v>2027</v>
      </c>
      <c r="B39" s="102">
        <v>146.03709247027606</v>
      </c>
      <c r="C39" s="1"/>
      <c r="D39" s="1"/>
      <c r="E39" s="43">
        <v>2032</v>
      </c>
      <c r="F39" s="36">
        <v>12.24</v>
      </c>
      <c r="G39" s="476">
        <f t="shared" si="26"/>
        <v>1.1601280080000001E-5</v>
      </c>
      <c r="H39" s="47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X39" s="282">
        <v>13</v>
      </c>
      <c r="Y39" s="283">
        <f t="shared" si="32"/>
        <v>197682.67951964075</v>
      </c>
      <c r="Z39" s="169">
        <f t="shared" si="33"/>
        <v>117063.51236740386</v>
      </c>
      <c r="AA39" s="254">
        <f t="shared" si="27"/>
        <v>80619.167152236885</v>
      </c>
      <c r="AB39" s="283">
        <v>0</v>
      </c>
      <c r="AC39" s="169">
        <f t="shared" si="43"/>
        <v>1943.6018043075194</v>
      </c>
      <c r="AD39" s="254">
        <f t="shared" si="28"/>
        <v>1943.6018043075194</v>
      </c>
      <c r="AE39" s="283">
        <f>'Análisis Finan CCGT Nuevo'!I25</f>
        <v>0</v>
      </c>
      <c r="AF39" s="169">
        <f t="shared" si="34"/>
        <v>78675.565347929369</v>
      </c>
      <c r="AG39" s="254">
        <f t="shared" si="29"/>
        <v>0</v>
      </c>
      <c r="AH39" s="275">
        <f t="shared" si="30"/>
        <v>78675.565347929369</v>
      </c>
      <c r="AI39" s="275">
        <f t="shared" si="35"/>
        <v>1943.6018043075194</v>
      </c>
      <c r="AJ39" s="275"/>
      <c r="AK39" s="275">
        <f t="shared" si="36"/>
        <v>80619.167152236885</v>
      </c>
      <c r="AL39" s="275">
        <f t="shared" si="37"/>
        <v>-221465325.31220078</v>
      </c>
      <c r="AM39" s="280"/>
      <c r="AO39" s="255">
        <v>13</v>
      </c>
      <c r="AP39" s="242">
        <f t="shared" si="38"/>
        <v>78675.565347929369</v>
      </c>
      <c r="AQ39" s="243">
        <f t="shared" si="39"/>
        <v>-197295526.24603429</v>
      </c>
      <c r="AR39" s="266">
        <f t="shared" si="40"/>
        <v>0</v>
      </c>
      <c r="AS39" s="254">
        <f t="shared" si="31"/>
        <v>0</v>
      </c>
    </row>
    <row r="40" spans="1:45" x14ac:dyDescent="0.25">
      <c r="A40" s="43">
        <v>2028</v>
      </c>
      <c r="B40" s="102">
        <v>147.77304372023585</v>
      </c>
      <c r="C40" s="1"/>
      <c r="D40" s="1"/>
      <c r="E40" s="43">
        <v>2033</v>
      </c>
      <c r="F40" s="36">
        <v>12.26</v>
      </c>
      <c r="G40" s="476">
        <f t="shared" si="26"/>
        <v>1.1620236420000001E-5</v>
      </c>
      <c r="H40" s="47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X40" s="282">
        <v>14</v>
      </c>
      <c r="Y40" s="283">
        <f t="shared" si="32"/>
        <v>200963.16371848382</v>
      </c>
      <c r="Z40" s="169">
        <f t="shared" si="33"/>
        <v>119408.99643889719</v>
      </c>
      <c r="AA40" s="254">
        <f t="shared" si="27"/>
        <v>81554.167279586633</v>
      </c>
      <c r="AB40" s="283">
        <v>0</v>
      </c>
      <c r="AC40" s="169">
        <f t="shared" si="43"/>
        <v>1943.6018043075194</v>
      </c>
      <c r="AD40" s="254">
        <f t="shared" si="28"/>
        <v>1943.6018043075194</v>
      </c>
      <c r="AE40" s="283">
        <f>'Análisis Finan CCGT Nuevo'!I26</f>
        <v>0</v>
      </c>
      <c r="AF40" s="169">
        <f t="shared" si="34"/>
        <v>79610.565475279116</v>
      </c>
      <c r="AG40" s="254">
        <f t="shared" si="29"/>
        <v>0</v>
      </c>
      <c r="AH40" s="275">
        <f t="shared" si="30"/>
        <v>79610.565475279116</v>
      </c>
      <c r="AI40" s="275">
        <f t="shared" si="35"/>
        <v>1943.6018043075194</v>
      </c>
      <c r="AJ40" s="275"/>
      <c r="AK40" s="275">
        <f t="shared" si="36"/>
        <v>81554.167279586633</v>
      </c>
      <c r="AL40" s="275">
        <f t="shared" si="37"/>
        <v>-221383771.14492118</v>
      </c>
      <c r="AM40" s="280"/>
      <c r="AO40" s="255">
        <v>14</v>
      </c>
      <c r="AP40" s="242">
        <f t="shared" si="38"/>
        <v>79610.565475279116</v>
      </c>
      <c r="AQ40" s="243">
        <f t="shared" si="39"/>
        <v>-197215915.68055901</v>
      </c>
      <c r="AR40" s="266">
        <f t="shared" si="40"/>
        <v>0</v>
      </c>
      <c r="AS40" s="254">
        <f t="shared" si="31"/>
        <v>0</v>
      </c>
    </row>
    <row r="41" spans="1:45" x14ac:dyDescent="0.25">
      <c r="A41" s="43">
        <v>2029</v>
      </c>
      <c r="B41" s="102">
        <v>150.25123673834733</v>
      </c>
      <c r="C41" s="1"/>
      <c r="D41" s="1"/>
      <c r="E41" s="43">
        <v>2034</v>
      </c>
      <c r="F41" s="36">
        <v>12.48</v>
      </c>
      <c r="G41" s="476">
        <f t="shared" si="26"/>
        <v>1.182875616E-5</v>
      </c>
      <c r="H41" s="47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X41" s="282">
        <v>15</v>
      </c>
      <c r="Y41" s="283">
        <f t="shared" si="32"/>
        <v>201780.79644366429</v>
      </c>
      <c r="Z41" s="169">
        <f t="shared" si="33"/>
        <v>119154.32394660619</v>
      </c>
      <c r="AA41" s="254">
        <f t="shared" si="27"/>
        <v>82626.472497058101</v>
      </c>
      <c r="AB41" s="283">
        <v>0</v>
      </c>
      <c r="AC41" s="169">
        <f t="shared" si="43"/>
        <v>1943.6018043075194</v>
      </c>
      <c r="AD41" s="254">
        <f t="shared" si="28"/>
        <v>1943.6018043075194</v>
      </c>
      <c r="AE41" s="283">
        <f>'Análisis Finan CCGT Nuevo'!I27</f>
        <v>0</v>
      </c>
      <c r="AF41" s="169">
        <f t="shared" si="34"/>
        <v>80682.870692750585</v>
      </c>
      <c r="AG41" s="254">
        <f t="shared" si="29"/>
        <v>0</v>
      </c>
      <c r="AH41" s="275">
        <f t="shared" si="30"/>
        <v>80682.870692750585</v>
      </c>
      <c r="AI41" s="275">
        <f t="shared" si="35"/>
        <v>1943.6018043075194</v>
      </c>
      <c r="AJ41" s="275"/>
      <c r="AK41" s="275">
        <f t="shared" si="36"/>
        <v>82626.472497058101</v>
      </c>
      <c r="AL41" s="275">
        <f t="shared" si="37"/>
        <v>-221301144.67242414</v>
      </c>
      <c r="AM41" s="280"/>
      <c r="AO41" s="255">
        <v>15</v>
      </c>
      <c r="AP41" s="242">
        <f t="shared" si="38"/>
        <v>80682.870692750585</v>
      </c>
      <c r="AQ41" s="243">
        <f t="shared" si="39"/>
        <v>-197135232.80986625</v>
      </c>
      <c r="AR41" s="266">
        <f t="shared" si="40"/>
        <v>0</v>
      </c>
      <c r="AS41" s="254">
        <f t="shared" si="31"/>
        <v>0</v>
      </c>
    </row>
    <row r="42" spans="1:45" ht="15.75" thickBot="1" x14ac:dyDescent="0.3">
      <c r="A42" s="43">
        <v>2030</v>
      </c>
      <c r="B42" s="102">
        <v>153.70391732150577</v>
      </c>
      <c r="C42" s="1"/>
      <c r="D42" s="1"/>
      <c r="E42" s="44">
        <v>2035</v>
      </c>
      <c r="F42" s="45">
        <v>12.56</v>
      </c>
      <c r="G42" s="477">
        <f t="shared" si="26"/>
        <v>1.190458152E-5</v>
      </c>
      <c r="H42" s="47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X42" s="282">
        <v>16</v>
      </c>
      <c r="Y42" s="283">
        <f t="shared" si="32"/>
        <v>204192.08610956886</v>
      </c>
      <c r="Z42" s="169">
        <f t="shared" si="33"/>
        <v>120560.24050131009</v>
      </c>
      <c r="AA42" s="254">
        <f t="shared" si="27"/>
        <v>83631.845608258765</v>
      </c>
      <c r="AB42" s="283">
        <v>0</v>
      </c>
      <c r="AC42" s="169">
        <f t="shared" si="43"/>
        <v>1943.6018043075194</v>
      </c>
      <c r="AD42" s="254">
        <f t="shared" si="28"/>
        <v>1943.6018043075194</v>
      </c>
      <c r="AE42" s="283">
        <f>'Análisis Finan CCGT Nuevo'!I28</f>
        <v>0</v>
      </c>
      <c r="AF42" s="169">
        <f t="shared" si="34"/>
        <v>81688.243803951249</v>
      </c>
      <c r="AG42" s="254">
        <f t="shared" si="29"/>
        <v>0</v>
      </c>
      <c r="AH42" s="275">
        <f t="shared" si="30"/>
        <v>81688.243803951249</v>
      </c>
      <c r="AI42" s="275">
        <f t="shared" si="35"/>
        <v>1943.6018043075194</v>
      </c>
      <c r="AJ42" s="275"/>
      <c r="AK42" s="275">
        <f t="shared" si="36"/>
        <v>83631.845608258765</v>
      </c>
      <c r="AL42" s="275">
        <f t="shared" si="37"/>
        <v>-221217512.82681587</v>
      </c>
      <c r="AM42" s="280"/>
      <c r="AO42" s="255">
        <v>16</v>
      </c>
      <c r="AP42" s="242">
        <f t="shared" si="38"/>
        <v>81688.243803951249</v>
      </c>
      <c r="AQ42" s="243">
        <f t="shared" si="39"/>
        <v>-197053544.5660623</v>
      </c>
      <c r="AR42" s="266">
        <f t="shared" si="40"/>
        <v>0</v>
      </c>
      <c r="AS42" s="254">
        <f t="shared" si="31"/>
        <v>0</v>
      </c>
    </row>
    <row r="43" spans="1:45" x14ac:dyDescent="0.25">
      <c r="A43" s="43">
        <v>2031</v>
      </c>
      <c r="B43" s="102">
        <v>156.97802049262847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728" t="s">
        <v>306</v>
      </c>
      <c r="T43" s="729"/>
      <c r="U43" s="224" t="s">
        <v>122</v>
      </c>
      <c r="V43" s="224" t="s">
        <v>143</v>
      </c>
      <c r="X43" s="285">
        <v>17</v>
      </c>
      <c r="Y43" s="286">
        <f t="shared" si="32"/>
        <v>205507.49037366104</v>
      </c>
      <c r="Z43" s="250">
        <f t="shared" si="33"/>
        <v>120796.85828997998</v>
      </c>
      <c r="AA43" s="264">
        <f t="shared" si="27"/>
        <v>84710.632083681063</v>
      </c>
      <c r="AB43" s="286">
        <v>0</v>
      </c>
      <c r="AC43" s="250">
        <f t="shared" si="43"/>
        <v>1943.6018043075194</v>
      </c>
      <c r="AD43" s="264">
        <f t="shared" si="28"/>
        <v>1943.6018043075194</v>
      </c>
      <c r="AE43" s="286">
        <f>'Análisis Finan CCGT Nuevo'!I29</f>
        <v>0</v>
      </c>
      <c r="AF43" s="250">
        <f t="shared" si="34"/>
        <v>82767.030279373546</v>
      </c>
      <c r="AG43" s="264">
        <f t="shared" si="29"/>
        <v>0</v>
      </c>
      <c r="AH43" s="276">
        <f t="shared" si="30"/>
        <v>82767.030279373546</v>
      </c>
      <c r="AI43" s="276">
        <f t="shared" si="35"/>
        <v>1943.6018043075194</v>
      </c>
      <c r="AJ43" s="276"/>
      <c r="AK43" s="276">
        <f t="shared" si="36"/>
        <v>84710.632083681063</v>
      </c>
      <c r="AL43" s="276">
        <f t="shared" si="37"/>
        <v>-221132802.19473219</v>
      </c>
      <c r="AM43" s="280"/>
      <c r="AO43" s="258">
        <v>17</v>
      </c>
      <c r="AP43" s="256">
        <f t="shared" si="38"/>
        <v>82767.030279373546</v>
      </c>
      <c r="AQ43" s="257">
        <f t="shared" si="39"/>
        <v>-196970777.53578293</v>
      </c>
      <c r="AR43" s="267">
        <f t="shared" si="40"/>
        <v>0</v>
      </c>
      <c r="AS43" s="264">
        <f t="shared" si="31"/>
        <v>0</v>
      </c>
    </row>
    <row r="44" spans="1:45" x14ac:dyDescent="0.25">
      <c r="A44" s="43">
        <v>2032</v>
      </c>
      <c r="B44" s="102">
        <v>160.6168452886636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730" t="s">
        <v>123</v>
      </c>
      <c r="T44" s="731"/>
      <c r="U44" s="218">
        <v>0.18</v>
      </c>
      <c r="V44" s="219">
        <f>-$U$5*U44</f>
        <v>33318888.073843189</v>
      </c>
      <c r="AK44" s="95"/>
      <c r="AM44" s="95"/>
    </row>
    <row r="45" spans="1:45" x14ac:dyDescent="0.25">
      <c r="A45" s="43">
        <v>2033</v>
      </c>
      <c r="B45" s="102">
        <v>162.17811380756027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724" t="s">
        <v>124</v>
      </c>
      <c r="T45" s="725"/>
      <c r="U45" s="218">
        <v>0.03</v>
      </c>
      <c r="V45" s="219">
        <f t="shared" ref="V45:V52" si="44">-$U$5*U45</f>
        <v>5553148.0123071978</v>
      </c>
    </row>
    <row r="46" spans="1:45" x14ac:dyDescent="0.25">
      <c r="A46" s="43">
        <v>2034</v>
      </c>
      <c r="B46" s="102">
        <v>165.12287406424343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724" t="s">
        <v>131</v>
      </c>
      <c r="T46" s="725"/>
      <c r="U46" s="218">
        <v>0.09</v>
      </c>
      <c r="V46" s="219">
        <f t="shared" si="44"/>
        <v>16659444.036921594</v>
      </c>
      <c r="X46" s="761" t="s">
        <v>7</v>
      </c>
      <c r="Y46" s="738" t="s">
        <v>133</v>
      </c>
      <c r="Z46" s="736" t="s">
        <v>134</v>
      </c>
      <c r="AA46" s="734" t="s">
        <v>135</v>
      </c>
      <c r="AB46" s="738" t="s">
        <v>136</v>
      </c>
      <c r="AC46" s="736"/>
      <c r="AD46" s="734" t="s">
        <v>139</v>
      </c>
      <c r="AE46" s="738" t="s">
        <v>165</v>
      </c>
      <c r="AF46" s="736" t="s">
        <v>147</v>
      </c>
      <c r="AG46" s="734" t="s">
        <v>152</v>
      </c>
      <c r="AH46" s="732" t="s">
        <v>153</v>
      </c>
      <c r="AI46" s="732" t="s">
        <v>139</v>
      </c>
      <c r="AJ46" s="732" t="s">
        <v>154</v>
      </c>
      <c r="AK46" s="732" t="s">
        <v>155</v>
      </c>
      <c r="AL46" s="732" t="s">
        <v>156</v>
      </c>
      <c r="AO46" s="754" t="s">
        <v>164</v>
      </c>
      <c r="AP46" s="755"/>
      <c r="AQ46" s="755"/>
      <c r="AR46" s="755"/>
      <c r="AS46" s="756"/>
    </row>
    <row r="47" spans="1:45" ht="24.75" thickBot="1" x14ac:dyDescent="0.3">
      <c r="A47" s="44">
        <v>2035</v>
      </c>
      <c r="B47" s="105">
        <v>167.14457448356069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724" t="s">
        <v>125</v>
      </c>
      <c r="T47" s="725"/>
      <c r="U47" s="218">
        <v>0.08</v>
      </c>
      <c r="V47" s="219">
        <f t="shared" si="44"/>
        <v>14808394.699485863</v>
      </c>
      <c r="X47" s="762"/>
      <c r="Y47" s="739"/>
      <c r="Z47" s="737"/>
      <c r="AA47" s="735"/>
      <c r="AB47" s="287" t="s">
        <v>137</v>
      </c>
      <c r="AC47" s="288" t="s">
        <v>138</v>
      </c>
      <c r="AD47" s="735"/>
      <c r="AE47" s="739"/>
      <c r="AF47" s="737"/>
      <c r="AG47" s="735"/>
      <c r="AH47" s="733"/>
      <c r="AI47" s="733"/>
      <c r="AJ47" s="733"/>
      <c r="AK47" s="733"/>
      <c r="AL47" s="733"/>
      <c r="AO47" s="268" t="s">
        <v>22</v>
      </c>
      <c r="AP47" s="291" t="s">
        <v>148</v>
      </c>
      <c r="AQ47" s="262" t="s">
        <v>149</v>
      </c>
      <c r="AR47" s="265"/>
      <c r="AS47" s="263" t="s">
        <v>152</v>
      </c>
    </row>
    <row r="48" spans="1:45" x14ac:dyDescent="0.25">
      <c r="S48" s="724" t="s">
        <v>126</v>
      </c>
      <c r="T48" s="725"/>
      <c r="U48" s="218">
        <v>0.1</v>
      </c>
      <c r="V48" s="219">
        <f t="shared" si="44"/>
        <v>18510493.374357328</v>
      </c>
      <c r="X48" s="282">
        <v>0</v>
      </c>
      <c r="Y48" s="283"/>
      <c r="Z48" s="169"/>
      <c r="AA48" s="254">
        <f t="shared" ref="AA48:AA65" si="45">Y48-Z48</f>
        <v>0</v>
      </c>
      <c r="AB48" s="283"/>
      <c r="AC48" s="169"/>
      <c r="AD48" s="254">
        <f t="shared" ref="AD48:AD65" si="46">AB48+AC48</f>
        <v>0</v>
      </c>
      <c r="AE48" s="283"/>
      <c r="AF48" s="169"/>
      <c r="AG48" s="254">
        <f t="shared" ref="AG48:AG65" si="47">AS48</f>
        <v>0</v>
      </c>
      <c r="AH48" s="275">
        <f t="shared" ref="AH48:AH65" si="48">AF48-AG48</f>
        <v>0</v>
      </c>
      <c r="AI48" s="275"/>
      <c r="AJ48" s="275">
        <f>'Análisis Finan CCGT Nuevo'!K34*-1</f>
        <v>0</v>
      </c>
      <c r="AK48" s="275">
        <f>AH48+AI48-AJ48</f>
        <v>0</v>
      </c>
      <c r="AL48" s="275">
        <f>AK48</f>
        <v>0</v>
      </c>
      <c r="AO48" s="255">
        <v>0</v>
      </c>
      <c r="AP48" s="292"/>
      <c r="AQ48" s="161"/>
      <c r="AR48" s="266">
        <f>IF(AQ48&gt;0,1,0)</f>
        <v>0</v>
      </c>
      <c r="AS48" s="254">
        <f t="shared" ref="AS48:AS65" si="49">MIN(AP48:AQ48)*AR48*$S$60</f>
        <v>0</v>
      </c>
    </row>
    <row r="49" spans="18:45" x14ac:dyDescent="0.25">
      <c r="S49" s="724" t="s">
        <v>127</v>
      </c>
      <c r="T49" s="725"/>
      <c r="U49" s="218">
        <v>0.09</v>
      </c>
      <c r="V49" s="219">
        <f t="shared" si="44"/>
        <v>16659444.036921594</v>
      </c>
      <c r="X49" s="282">
        <v>1</v>
      </c>
      <c r="Y49" s="283">
        <f>(O6+P6)/1000</f>
        <v>163621.11389718551</v>
      </c>
      <c r="Z49" s="169">
        <f>(Q6+R6+S6)/1000</f>
        <v>93705.667784599776</v>
      </c>
      <c r="AA49" s="254">
        <f t="shared" si="45"/>
        <v>69915.446112585734</v>
      </c>
      <c r="AB49" s="283">
        <f>U57</f>
        <v>14623.289765742291</v>
      </c>
      <c r="AC49" s="169">
        <f>U58</f>
        <v>1943.6018043075194</v>
      </c>
      <c r="AD49" s="254">
        <f t="shared" si="46"/>
        <v>16566.891570049811</v>
      </c>
      <c r="AE49" s="284">
        <f>'Análisis Finan CCGT Nuevo'!I35</f>
        <v>0</v>
      </c>
      <c r="AF49" s="169">
        <f t="shared" ref="AF49:AF65" si="50">AA49-AD49-AE49</f>
        <v>53348.554542535923</v>
      </c>
      <c r="AG49" s="254">
        <f t="shared" si="47"/>
        <v>16004.566362760776</v>
      </c>
      <c r="AH49" s="275">
        <f t="shared" si="48"/>
        <v>37343.988179775144</v>
      </c>
      <c r="AI49" s="275">
        <f t="shared" ref="AI49:AI65" si="51">AD49</f>
        <v>16566.891570049811</v>
      </c>
      <c r="AJ49" s="275"/>
      <c r="AK49" s="275">
        <f t="shared" ref="AK49:AK65" si="52">AH49+AI49+AJ49</f>
        <v>53910.879749824955</v>
      </c>
      <c r="AL49" s="275">
        <f t="shared" ref="AL49:AL65" si="53">AL48+AK49</f>
        <v>53910.879749824955</v>
      </c>
      <c r="AO49" s="255">
        <v>1</v>
      </c>
      <c r="AP49" s="242">
        <f t="shared" ref="AP49:AP65" si="54">AF49</f>
        <v>53348.554542535923</v>
      </c>
      <c r="AQ49" s="243">
        <f t="shared" ref="AQ49:AQ65" si="55">AP49+AQ48</f>
        <v>53348.554542535923</v>
      </c>
      <c r="AR49" s="266">
        <f t="shared" ref="AR49:AR65" si="56">IF(AQ49&gt;0,1,0)</f>
        <v>1</v>
      </c>
      <c r="AS49" s="254">
        <f t="shared" si="49"/>
        <v>16004.566362760776</v>
      </c>
    </row>
    <row r="50" spans="18:45" x14ac:dyDescent="0.25">
      <c r="S50" s="724" t="s">
        <v>128</v>
      </c>
      <c r="T50" s="725"/>
      <c r="U50" s="218">
        <v>0.03</v>
      </c>
      <c r="V50" s="219">
        <f t="shared" si="44"/>
        <v>5553148.0123071978</v>
      </c>
      <c r="X50" s="282">
        <v>2</v>
      </c>
      <c r="Y50" s="283">
        <f t="shared" ref="Y50:Y65" si="57">(O7+P7)/1000</f>
        <v>168767.38279887434</v>
      </c>
      <c r="Z50" s="169">
        <f t="shared" ref="Z50:Z65" si="58">(Q7+R7+S7)/1000</f>
        <v>98081.811414851691</v>
      </c>
      <c r="AA50" s="254">
        <f t="shared" si="45"/>
        <v>70685.571384022653</v>
      </c>
      <c r="AB50" s="283">
        <f t="shared" ref="AB50:AB58" si="59">AB49</f>
        <v>14623.289765742291</v>
      </c>
      <c r="AC50" s="169">
        <f t="shared" ref="AC50:AC65" si="60">AC49</f>
        <v>1943.6018043075194</v>
      </c>
      <c r="AD50" s="254">
        <f t="shared" si="46"/>
        <v>16566.891570049811</v>
      </c>
      <c r="AE50" s="284">
        <f>'Análisis Finan CCGT Nuevo'!I36</f>
        <v>0</v>
      </c>
      <c r="AF50" s="169">
        <f t="shared" si="50"/>
        <v>54118.679813972842</v>
      </c>
      <c r="AG50" s="254">
        <f t="shared" si="47"/>
        <v>16235.603944191851</v>
      </c>
      <c r="AH50" s="275">
        <f t="shared" si="48"/>
        <v>37883.075869780994</v>
      </c>
      <c r="AI50" s="275">
        <f t="shared" si="51"/>
        <v>16566.891570049811</v>
      </c>
      <c r="AJ50" s="275"/>
      <c r="AK50" s="275">
        <f t="shared" si="52"/>
        <v>54449.967439830805</v>
      </c>
      <c r="AL50" s="275">
        <f t="shared" si="53"/>
        <v>108360.84718965576</v>
      </c>
      <c r="AO50" s="255">
        <v>2</v>
      </c>
      <c r="AP50" s="242">
        <f t="shared" si="54"/>
        <v>54118.679813972842</v>
      </c>
      <c r="AQ50" s="243">
        <f t="shared" si="55"/>
        <v>107467.23435650876</v>
      </c>
      <c r="AR50" s="266">
        <f t="shared" si="56"/>
        <v>1</v>
      </c>
      <c r="AS50" s="254">
        <f t="shared" si="49"/>
        <v>16235.603944191851</v>
      </c>
    </row>
    <row r="51" spans="18:45" x14ac:dyDescent="0.25">
      <c r="S51" s="724" t="s">
        <v>130</v>
      </c>
      <c r="T51" s="725"/>
      <c r="U51" s="218">
        <v>0.08</v>
      </c>
      <c r="V51" s="219">
        <f t="shared" si="44"/>
        <v>14808394.699485863</v>
      </c>
      <c r="X51" s="282">
        <v>3</v>
      </c>
      <c r="Y51" s="283">
        <f t="shared" si="57"/>
        <v>172790.34945674308</v>
      </c>
      <c r="Z51" s="169">
        <f t="shared" si="58"/>
        <v>101296.6335617466</v>
      </c>
      <c r="AA51" s="254">
        <f t="shared" si="45"/>
        <v>71493.71589499648</v>
      </c>
      <c r="AB51" s="283">
        <f t="shared" si="59"/>
        <v>14623.289765742291</v>
      </c>
      <c r="AC51" s="169">
        <f t="shared" si="60"/>
        <v>1943.6018043075194</v>
      </c>
      <c r="AD51" s="254">
        <f t="shared" si="46"/>
        <v>16566.891570049811</v>
      </c>
      <c r="AE51" s="284">
        <f>'Análisis Finan CCGT Nuevo'!I37</f>
        <v>-166594440.36921597</v>
      </c>
      <c r="AF51" s="169">
        <f t="shared" si="50"/>
        <v>166649367.1935409</v>
      </c>
      <c r="AG51" s="254">
        <f t="shared" si="47"/>
        <v>49994810.158062272</v>
      </c>
      <c r="AH51" s="275">
        <f t="shared" si="48"/>
        <v>116654557.03547862</v>
      </c>
      <c r="AI51" s="275">
        <f t="shared" si="51"/>
        <v>16566.891570049811</v>
      </c>
      <c r="AJ51" s="275"/>
      <c r="AK51" s="275">
        <f t="shared" si="52"/>
        <v>116671123.92704867</v>
      </c>
      <c r="AL51" s="275">
        <f t="shared" si="53"/>
        <v>116779484.77423832</v>
      </c>
      <c r="AO51" s="255">
        <v>3</v>
      </c>
      <c r="AP51" s="242">
        <f t="shared" si="54"/>
        <v>166649367.1935409</v>
      </c>
      <c r="AQ51" s="243">
        <f t="shared" si="55"/>
        <v>166756834.42789742</v>
      </c>
      <c r="AR51" s="266">
        <f t="shared" si="56"/>
        <v>1</v>
      </c>
      <c r="AS51" s="254">
        <f t="shared" si="49"/>
        <v>49994810.158062272</v>
      </c>
    </row>
    <row r="52" spans="18:45" x14ac:dyDescent="0.25">
      <c r="S52" s="726" t="s">
        <v>129</v>
      </c>
      <c r="T52" s="727"/>
      <c r="U52" s="218">
        <v>0.32</v>
      </c>
      <c r="V52" s="219">
        <f t="shared" si="44"/>
        <v>59233578.797943451</v>
      </c>
      <c r="X52" s="282">
        <v>4</v>
      </c>
      <c r="Y52" s="283">
        <f t="shared" si="57"/>
        <v>176041.71474689301</v>
      </c>
      <c r="Z52" s="169">
        <f t="shared" si="58"/>
        <v>103708.52559632204</v>
      </c>
      <c r="AA52" s="254">
        <f t="shared" si="45"/>
        <v>72333.189150570965</v>
      </c>
      <c r="AB52" s="283">
        <f t="shared" si="59"/>
        <v>14623.289765742291</v>
      </c>
      <c r="AC52" s="169">
        <f t="shared" si="60"/>
        <v>1943.6018043075194</v>
      </c>
      <c r="AD52" s="254">
        <f t="shared" si="46"/>
        <v>16566.891570049811</v>
      </c>
      <c r="AE52" s="284" t="str">
        <f>'Análisis Finan CCGT Nuevo'!I38</f>
        <v>Pago</v>
      </c>
      <c r="AF52" s="169" t="e">
        <f t="shared" si="50"/>
        <v>#VALUE!</v>
      </c>
      <c r="AG52" s="254" t="e">
        <f t="shared" si="47"/>
        <v>#VALUE!</v>
      </c>
      <c r="AH52" s="275" t="e">
        <f t="shared" si="48"/>
        <v>#VALUE!</v>
      </c>
      <c r="AI52" s="275">
        <f t="shared" si="51"/>
        <v>16566.891570049811</v>
      </c>
      <c r="AJ52" s="275"/>
      <c r="AK52" s="275" t="e">
        <f t="shared" si="52"/>
        <v>#VALUE!</v>
      </c>
      <c r="AL52" s="275" t="e">
        <f t="shared" si="53"/>
        <v>#VALUE!</v>
      </c>
      <c r="AO52" s="255">
        <v>4</v>
      </c>
      <c r="AP52" s="242" t="e">
        <f t="shared" si="54"/>
        <v>#VALUE!</v>
      </c>
      <c r="AQ52" s="243" t="e">
        <f t="shared" si="55"/>
        <v>#VALUE!</v>
      </c>
      <c r="AR52" s="266" t="e">
        <f t="shared" si="56"/>
        <v>#VALUE!</v>
      </c>
      <c r="AS52" s="254" t="e">
        <f t="shared" si="49"/>
        <v>#VALUE!</v>
      </c>
    </row>
    <row r="53" spans="18:45" x14ac:dyDescent="0.25">
      <c r="S53" s="722" t="s">
        <v>132</v>
      </c>
      <c r="T53" s="723"/>
      <c r="U53" s="222">
        <f>SUM(U44:U52)</f>
        <v>1</v>
      </c>
      <c r="V53" s="223">
        <f>SUM(V44:V52)</f>
        <v>185104933.74357328</v>
      </c>
      <c r="X53" s="282">
        <v>5</v>
      </c>
      <c r="Y53" s="283">
        <f t="shared" si="57"/>
        <v>178200.10628587767</v>
      </c>
      <c r="Z53" s="169">
        <f t="shared" si="58"/>
        <v>104980.69163009642</v>
      </c>
      <c r="AA53" s="254">
        <f t="shared" si="45"/>
        <v>73219.414655781249</v>
      </c>
      <c r="AB53" s="283">
        <f t="shared" si="59"/>
        <v>14623.289765742291</v>
      </c>
      <c r="AC53" s="169">
        <f t="shared" si="60"/>
        <v>1943.6018043075194</v>
      </c>
      <c r="AD53" s="254">
        <f t="shared" si="46"/>
        <v>16566.891570049811</v>
      </c>
      <c r="AE53" s="284">
        <f>'Análisis Finan CCGT Nuevo'!I39</f>
        <v>0</v>
      </c>
      <c r="AF53" s="169">
        <f t="shared" si="50"/>
        <v>56652.523085731438</v>
      </c>
      <c r="AG53" s="254" t="e">
        <f t="shared" si="47"/>
        <v>#VALUE!</v>
      </c>
      <c r="AH53" s="275" t="e">
        <f t="shared" si="48"/>
        <v>#VALUE!</v>
      </c>
      <c r="AI53" s="275">
        <f t="shared" si="51"/>
        <v>16566.891570049811</v>
      </c>
      <c r="AJ53" s="275"/>
      <c r="AK53" s="275" t="e">
        <f t="shared" si="52"/>
        <v>#VALUE!</v>
      </c>
      <c r="AL53" s="275" t="e">
        <f t="shared" si="53"/>
        <v>#VALUE!</v>
      </c>
      <c r="AO53" s="255">
        <v>5</v>
      </c>
      <c r="AP53" s="242">
        <f t="shared" si="54"/>
        <v>56652.523085731438</v>
      </c>
      <c r="AQ53" s="243" t="e">
        <f t="shared" si="55"/>
        <v>#VALUE!</v>
      </c>
      <c r="AR53" s="266" t="e">
        <f t="shared" si="56"/>
        <v>#VALUE!</v>
      </c>
      <c r="AS53" s="254" t="e">
        <f t="shared" si="49"/>
        <v>#VALUE!</v>
      </c>
    </row>
    <row r="54" spans="18:45" x14ac:dyDescent="0.25">
      <c r="X54" s="282">
        <v>6</v>
      </c>
      <c r="Y54" s="283">
        <f t="shared" si="57"/>
        <v>180276.46746583609</v>
      </c>
      <c r="Z54" s="169">
        <f t="shared" si="58"/>
        <v>106156.76562526078</v>
      </c>
      <c r="AA54" s="254">
        <f t="shared" si="45"/>
        <v>74119.701840575304</v>
      </c>
      <c r="AB54" s="283">
        <f t="shared" si="59"/>
        <v>14623.289765742291</v>
      </c>
      <c r="AC54" s="169">
        <f t="shared" si="60"/>
        <v>1943.6018043075194</v>
      </c>
      <c r="AD54" s="254">
        <f t="shared" si="46"/>
        <v>16566.891570049811</v>
      </c>
      <c r="AE54" s="284">
        <f>'Análisis Finan CCGT Nuevo'!I40</f>
        <v>0</v>
      </c>
      <c r="AF54" s="169">
        <f t="shared" si="50"/>
        <v>57552.810270525493</v>
      </c>
      <c r="AG54" s="254" t="e">
        <f t="shared" si="47"/>
        <v>#VALUE!</v>
      </c>
      <c r="AH54" s="275" t="e">
        <f t="shared" si="48"/>
        <v>#VALUE!</v>
      </c>
      <c r="AI54" s="275">
        <f t="shared" si="51"/>
        <v>16566.891570049811</v>
      </c>
      <c r="AJ54" s="275"/>
      <c r="AK54" s="275" t="e">
        <f t="shared" si="52"/>
        <v>#VALUE!</v>
      </c>
      <c r="AL54" s="275" t="e">
        <f t="shared" si="53"/>
        <v>#VALUE!</v>
      </c>
      <c r="AO54" s="255">
        <v>6</v>
      </c>
      <c r="AP54" s="242">
        <f t="shared" si="54"/>
        <v>57552.810270525493</v>
      </c>
      <c r="AQ54" s="243" t="e">
        <f t="shared" si="55"/>
        <v>#VALUE!</v>
      </c>
      <c r="AR54" s="266" t="e">
        <f t="shared" si="56"/>
        <v>#VALUE!</v>
      </c>
      <c r="AS54" s="254" t="e">
        <f t="shared" si="49"/>
        <v>#VALUE!</v>
      </c>
    </row>
    <row r="55" spans="18:45" x14ac:dyDescent="0.25">
      <c r="X55" s="282">
        <v>7</v>
      </c>
      <c r="Y55" s="283">
        <f t="shared" si="57"/>
        <v>183426.58624450272</v>
      </c>
      <c r="Z55" s="169">
        <f t="shared" si="58"/>
        <v>108437.17566124885</v>
      </c>
      <c r="AA55" s="254">
        <f t="shared" si="45"/>
        <v>74989.410583253863</v>
      </c>
      <c r="AB55" s="283">
        <f t="shared" si="59"/>
        <v>14623.289765742291</v>
      </c>
      <c r="AC55" s="169">
        <f t="shared" si="60"/>
        <v>1943.6018043075194</v>
      </c>
      <c r="AD55" s="254">
        <f t="shared" si="46"/>
        <v>16566.891570049811</v>
      </c>
      <c r="AE55" s="284">
        <f>'Análisis Finan CCGT Nuevo'!I41</f>
        <v>0</v>
      </c>
      <c r="AF55" s="169">
        <f t="shared" si="50"/>
        <v>58422.519013204052</v>
      </c>
      <c r="AG55" s="254" t="e">
        <f t="shared" si="47"/>
        <v>#VALUE!</v>
      </c>
      <c r="AH55" s="275" t="e">
        <f t="shared" si="48"/>
        <v>#VALUE!</v>
      </c>
      <c r="AI55" s="275">
        <f t="shared" si="51"/>
        <v>16566.891570049811</v>
      </c>
      <c r="AJ55" s="275"/>
      <c r="AK55" s="275" t="e">
        <f t="shared" si="52"/>
        <v>#VALUE!</v>
      </c>
      <c r="AL55" s="275" t="e">
        <f t="shared" si="53"/>
        <v>#VALUE!</v>
      </c>
      <c r="AO55" s="255">
        <v>7</v>
      </c>
      <c r="AP55" s="242">
        <f t="shared" si="54"/>
        <v>58422.519013204052</v>
      </c>
      <c r="AQ55" s="243" t="e">
        <f t="shared" si="55"/>
        <v>#VALUE!</v>
      </c>
      <c r="AR55" s="266" t="e">
        <f t="shared" si="56"/>
        <v>#VALUE!</v>
      </c>
      <c r="AS55" s="254" t="e">
        <f t="shared" si="49"/>
        <v>#VALUE!</v>
      </c>
    </row>
    <row r="56" spans="18:45" x14ac:dyDescent="0.25">
      <c r="R56" s="214"/>
      <c r="S56" s="233" t="s">
        <v>144</v>
      </c>
      <c r="T56" s="236" t="s">
        <v>142</v>
      </c>
      <c r="U56" s="217" t="s">
        <v>145</v>
      </c>
      <c r="V56" s="233" t="s">
        <v>146</v>
      </c>
      <c r="X56" s="282">
        <v>8</v>
      </c>
      <c r="Y56" s="283">
        <f t="shared" si="57"/>
        <v>186322.14041196156</v>
      </c>
      <c r="Z56" s="169">
        <f t="shared" si="58"/>
        <v>110444.24090875164</v>
      </c>
      <c r="AA56" s="254">
        <f t="shared" si="45"/>
        <v>75877.899503209919</v>
      </c>
      <c r="AB56" s="283">
        <f t="shared" si="59"/>
        <v>14623.289765742291</v>
      </c>
      <c r="AC56" s="169">
        <f t="shared" si="60"/>
        <v>1943.6018043075194</v>
      </c>
      <c r="AD56" s="254">
        <f t="shared" si="46"/>
        <v>16566.891570049811</v>
      </c>
      <c r="AE56" s="284">
        <f>'Análisis Finan CCGT Nuevo'!I42</f>
        <v>0</v>
      </c>
      <c r="AF56" s="169">
        <f t="shared" si="50"/>
        <v>59311.007933160108</v>
      </c>
      <c r="AG56" s="254" t="e">
        <f t="shared" si="47"/>
        <v>#VALUE!</v>
      </c>
      <c r="AH56" s="275" t="e">
        <f t="shared" si="48"/>
        <v>#VALUE!</v>
      </c>
      <c r="AI56" s="275">
        <f t="shared" si="51"/>
        <v>16566.891570049811</v>
      </c>
      <c r="AJ56" s="275"/>
      <c r="AK56" s="275" t="e">
        <f t="shared" si="52"/>
        <v>#VALUE!</v>
      </c>
      <c r="AL56" s="275" t="e">
        <f t="shared" si="53"/>
        <v>#VALUE!</v>
      </c>
      <c r="AO56" s="255">
        <v>8</v>
      </c>
      <c r="AP56" s="242">
        <f t="shared" si="54"/>
        <v>59311.007933160108</v>
      </c>
      <c r="AQ56" s="243" t="e">
        <f t="shared" si="55"/>
        <v>#VALUE!</v>
      </c>
      <c r="AR56" s="266" t="e">
        <f t="shared" si="56"/>
        <v>#VALUE!</v>
      </c>
      <c r="AS56" s="254" t="e">
        <f t="shared" si="49"/>
        <v>#VALUE!</v>
      </c>
    </row>
    <row r="57" spans="18:45" x14ac:dyDescent="0.25">
      <c r="R57" s="231" t="s">
        <v>140</v>
      </c>
      <c r="S57" s="234">
        <f>SUM(V46:V52)/1000</f>
        <v>146232.8976574229</v>
      </c>
      <c r="T57" s="237">
        <f>1/V57</f>
        <v>0.1</v>
      </c>
      <c r="U57" s="229">
        <f>S57*T57</f>
        <v>14623.289765742291</v>
      </c>
      <c r="V57" s="239">
        <v>10</v>
      </c>
      <c r="X57" s="282">
        <v>9</v>
      </c>
      <c r="Y57" s="283">
        <f t="shared" si="57"/>
        <v>188525.11720114425</v>
      </c>
      <c r="Z57" s="169">
        <f t="shared" si="58"/>
        <v>111585.21469352159</v>
      </c>
      <c r="AA57" s="254">
        <f t="shared" si="45"/>
        <v>76939.902507622668</v>
      </c>
      <c r="AB57" s="283">
        <f t="shared" si="59"/>
        <v>14623.289765742291</v>
      </c>
      <c r="AC57" s="169">
        <f t="shared" si="60"/>
        <v>1943.6018043075194</v>
      </c>
      <c r="AD57" s="254">
        <f t="shared" si="46"/>
        <v>16566.891570049811</v>
      </c>
      <c r="AE57" s="284">
        <f>'Análisis Finan CCGT Nuevo'!I43</f>
        <v>0</v>
      </c>
      <c r="AF57" s="169">
        <f t="shared" si="50"/>
        <v>60373.010937572857</v>
      </c>
      <c r="AG57" s="254" t="e">
        <f t="shared" si="47"/>
        <v>#VALUE!</v>
      </c>
      <c r="AH57" s="275" t="e">
        <f t="shared" si="48"/>
        <v>#VALUE!</v>
      </c>
      <c r="AI57" s="275">
        <f t="shared" si="51"/>
        <v>16566.891570049811</v>
      </c>
      <c r="AJ57" s="275"/>
      <c r="AK57" s="275" t="e">
        <f t="shared" si="52"/>
        <v>#VALUE!</v>
      </c>
      <c r="AL57" s="275" t="e">
        <f t="shared" si="53"/>
        <v>#VALUE!</v>
      </c>
      <c r="AO57" s="255">
        <v>9</v>
      </c>
      <c r="AP57" s="242">
        <f t="shared" si="54"/>
        <v>60373.010937572857</v>
      </c>
      <c r="AQ57" s="243" t="e">
        <f t="shared" si="55"/>
        <v>#VALUE!</v>
      </c>
      <c r="AR57" s="266" t="e">
        <f t="shared" si="56"/>
        <v>#VALUE!</v>
      </c>
      <c r="AS57" s="254" t="e">
        <f t="shared" si="49"/>
        <v>#VALUE!</v>
      </c>
    </row>
    <row r="58" spans="18:45" x14ac:dyDescent="0.25">
      <c r="R58" s="232" t="s">
        <v>141</v>
      </c>
      <c r="S58" s="235">
        <f>SUM(V44:V45)/1000</f>
        <v>38872.036086150387</v>
      </c>
      <c r="T58" s="238">
        <f>1/V58</f>
        <v>0.05</v>
      </c>
      <c r="U58" s="230">
        <f>S58*T58</f>
        <v>1943.6018043075194</v>
      </c>
      <c r="V58" s="215">
        <v>20</v>
      </c>
      <c r="X58" s="282">
        <v>10</v>
      </c>
      <c r="Y58" s="283">
        <f t="shared" si="57"/>
        <v>189660.27272417652</v>
      </c>
      <c r="Z58" s="169">
        <f t="shared" si="58"/>
        <v>111869.13186370143</v>
      </c>
      <c r="AA58" s="254">
        <f t="shared" si="45"/>
        <v>77791.14086047509</v>
      </c>
      <c r="AB58" s="283">
        <f t="shared" si="59"/>
        <v>14623.289765742291</v>
      </c>
      <c r="AC58" s="169">
        <f t="shared" si="60"/>
        <v>1943.6018043075194</v>
      </c>
      <c r="AD58" s="254">
        <f t="shared" si="46"/>
        <v>16566.891570049811</v>
      </c>
      <c r="AE58" s="284">
        <f>'Análisis Finan CCGT Nuevo'!I44</f>
        <v>0</v>
      </c>
      <c r="AF58" s="169">
        <f t="shared" si="50"/>
        <v>61224.249290425279</v>
      </c>
      <c r="AG58" s="254" t="e">
        <f t="shared" si="47"/>
        <v>#VALUE!</v>
      </c>
      <c r="AH58" s="275" t="e">
        <f t="shared" si="48"/>
        <v>#VALUE!</v>
      </c>
      <c r="AI58" s="275">
        <f t="shared" si="51"/>
        <v>16566.891570049811</v>
      </c>
      <c r="AJ58" s="275"/>
      <c r="AK58" s="275" t="e">
        <f t="shared" si="52"/>
        <v>#VALUE!</v>
      </c>
      <c r="AL58" s="275" t="e">
        <f t="shared" si="53"/>
        <v>#VALUE!</v>
      </c>
      <c r="AO58" s="255">
        <v>10</v>
      </c>
      <c r="AP58" s="242">
        <f t="shared" si="54"/>
        <v>61224.249290425279</v>
      </c>
      <c r="AQ58" s="243" t="e">
        <f t="shared" si="55"/>
        <v>#VALUE!</v>
      </c>
      <c r="AR58" s="266" t="e">
        <f t="shared" si="56"/>
        <v>#VALUE!</v>
      </c>
      <c r="AS58" s="254" t="e">
        <f t="shared" si="49"/>
        <v>#VALUE!</v>
      </c>
    </row>
    <row r="59" spans="18:45" x14ac:dyDescent="0.25">
      <c r="X59" s="282">
        <v>11</v>
      </c>
      <c r="Y59" s="283">
        <f t="shared" si="57"/>
        <v>191663.31974923456</v>
      </c>
      <c r="Z59" s="169">
        <f t="shared" si="58"/>
        <v>112910.09495686329</v>
      </c>
      <c r="AA59" s="254">
        <f t="shared" si="45"/>
        <v>78753.224792371271</v>
      </c>
      <c r="AB59" s="283">
        <v>0</v>
      </c>
      <c r="AC59" s="169">
        <f t="shared" si="60"/>
        <v>1943.6018043075194</v>
      </c>
      <c r="AD59" s="254">
        <f t="shared" si="46"/>
        <v>1943.6018043075194</v>
      </c>
      <c r="AE59" s="283">
        <f>'Análisis Finan CCGT Nuevo'!I45</f>
        <v>20376314.71409487</v>
      </c>
      <c r="AF59" s="169">
        <f t="shared" si="50"/>
        <v>-20299505.091106806</v>
      </c>
      <c r="AG59" s="254" t="e">
        <f t="shared" si="47"/>
        <v>#VALUE!</v>
      </c>
      <c r="AH59" s="275" t="e">
        <f t="shared" si="48"/>
        <v>#VALUE!</v>
      </c>
      <c r="AI59" s="275">
        <f t="shared" si="51"/>
        <v>1943.6018043075194</v>
      </c>
      <c r="AJ59" s="275"/>
      <c r="AK59" s="275" t="e">
        <f t="shared" si="52"/>
        <v>#VALUE!</v>
      </c>
      <c r="AL59" s="275" t="e">
        <f t="shared" si="53"/>
        <v>#VALUE!</v>
      </c>
      <c r="AO59" s="255">
        <v>11</v>
      </c>
      <c r="AP59" s="242">
        <f t="shared" si="54"/>
        <v>-20299505.091106806</v>
      </c>
      <c r="AQ59" s="243" t="e">
        <f t="shared" si="55"/>
        <v>#VALUE!</v>
      </c>
      <c r="AR59" s="266" t="e">
        <f t="shared" si="56"/>
        <v>#VALUE!</v>
      </c>
      <c r="AS59" s="254" t="e">
        <f t="shared" si="49"/>
        <v>#VALUE!</v>
      </c>
    </row>
    <row r="60" spans="18:45" x14ac:dyDescent="0.25">
      <c r="R60" s="260" t="s">
        <v>151</v>
      </c>
      <c r="S60" s="261">
        <v>0.3</v>
      </c>
      <c r="X60" s="282">
        <v>12</v>
      </c>
      <c r="Y60" s="283">
        <f t="shared" si="57"/>
        <v>194796.33618437598</v>
      </c>
      <c r="Z60" s="169">
        <f t="shared" si="58"/>
        <v>115121.04410498303</v>
      </c>
      <c r="AA60" s="254">
        <f t="shared" si="45"/>
        <v>79675.292079392952</v>
      </c>
      <c r="AB60" s="283">
        <v>0</v>
      </c>
      <c r="AC60" s="169">
        <f t="shared" si="60"/>
        <v>1943.6018043075194</v>
      </c>
      <c r="AD60" s="254">
        <f t="shared" si="46"/>
        <v>1943.6018043075194</v>
      </c>
      <c r="AE60" s="283">
        <f>'Análisis Finan CCGT Nuevo'!I46</f>
        <v>20376314.71409487</v>
      </c>
      <c r="AF60" s="169">
        <f t="shared" si="50"/>
        <v>-20298583.023819786</v>
      </c>
      <c r="AG60" s="254" t="e">
        <f t="shared" si="47"/>
        <v>#VALUE!</v>
      </c>
      <c r="AH60" s="275" t="e">
        <f t="shared" si="48"/>
        <v>#VALUE!</v>
      </c>
      <c r="AI60" s="275">
        <f t="shared" si="51"/>
        <v>1943.6018043075194</v>
      </c>
      <c r="AJ60" s="275"/>
      <c r="AK60" s="275" t="e">
        <f t="shared" si="52"/>
        <v>#VALUE!</v>
      </c>
      <c r="AL60" s="275" t="e">
        <f t="shared" si="53"/>
        <v>#VALUE!</v>
      </c>
      <c r="AO60" s="255">
        <v>12</v>
      </c>
      <c r="AP60" s="242">
        <f t="shared" si="54"/>
        <v>-20298583.023819786</v>
      </c>
      <c r="AQ60" s="243" t="e">
        <f t="shared" si="55"/>
        <v>#VALUE!</v>
      </c>
      <c r="AR60" s="266" t="e">
        <f t="shared" si="56"/>
        <v>#VALUE!</v>
      </c>
      <c r="AS60" s="254" t="e">
        <f t="shared" si="49"/>
        <v>#VALUE!</v>
      </c>
    </row>
    <row r="61" spans="18:45" x14ac:dyDescent="0.25">
      <c r="X61" s="282">
        <v>13</v>
      </c>
      <c r="Y61" s="283">
        <f t="shared" si="57"/>
        <v>197682.67951964075</v>
      </c>
      <c r="Z61" s="169">
        <f t="shared" si="58"/>
        <v>117063.51236740386</v>
      </c>
      <c r="AA61" s="254">
        <f t="shared" si="45"/>
        <v>80619.167152236885</v>
      </c>
      <c r="AB61" s="283">
        <v>0</v>
      </c>
      <c r="AC61" s="169">
        <f t="shared" si="60"/>
        <v>1943.6018043075194</v>
      </c>
      <c r="AD61" s="254">
        <f t="shared" si="46"/>
        <v>1943.6018043075194</v>
      </c>
      <c r="AE61" s="283">
        <f>'Análisis Finan CCGT Nuevo'!I47</f>
        <v>20376314.71409487</v>
      </c>
      <c r="AF61" s="169">
        <f t="shared" si="50"/>
        <v>-20297639.148746941</v>
      </c>
      <c r="AG61" s="254" t="e">
        <f t="shared" si="47"/>
        <v>#VALUE!</v>
      </c>
      <c r="AH61" s="275" t="e">
        <f t="shared" si="48"/>
        <v>#VALUE!</v>
      </c>
      <c r="AI61" s="275">
        <f t="shared" si="51"/>
        <v>1943.6018043075194</v>
      </c>
      <c r="AJ61" s="275"/>
      <c r="AK61" s="275" t="e">
        <f t="shared" si="52"/>
        <v>#VALUE!</v>
      </c>
      <c r="AL61" s="275" t="e">
        <f t="shared" si="53"/>
        <v>#VALUE!</v>
      </c>
      <c r="AO61" s="255">
        <v>13</v>
      </c>
      <c r="AP61" s="242">
        <f t="shared" si="54"/>
        <v>-20297639.148746941</v>
      </c>
      <c r="AQ61" s="243" t="e">
        <f t="shared" si="55"/>
        <v>#VALUE!</v>
      </c>
      <c r="AR61" s="266" t="e">
        <f t="shared" si="56"/>
        <v>#VALUE!</v>
      </c>
      <c r="AS61" s="254" t="e">
        <f t="shared" si="49"/>
        <v>#VALUE!</v>
      </c>
    </row>
    <row r="62" spans="18:45" x14ac:dyDescent="0.25">
      <c r="X62" s="282">
        <v>14</v>
      </c>
      <c r="Y62" s="283">
        <f t="shared" si="57"/>
        <v>200963.16371848382</v>
      </c>
      <c r="Z62" s="169">
        <f t="shared" si="58"/>
        <v>119408.99643889719</v>
      </c>
      <c r="AA62" s="254">
        <f t="shared" si="45"/>
        <v>81554.167279586633</v>
      </c>
      <c r="AB62" s="283">
        <v>0</v>
      </c>
      <c r="AC62" s="169">
        <f t="shared" si="60"/>
        <v>1943.6018043075194</v>
      </c>
      <c r="AD62" s="254">
        <f t="shared" si="46"/>
        <v>1943.6018043075194</v>
      </c>
      <c r="AE62" s="283">
        <f>'Análisis Finan CCGT Nuevo'!I48</f>
        <v>20376314.71409487</v>
      </c>
      <c r="AF62" s="169">
        <f t="shared" si="50"/>
        <v>-20296704.148619592</v>
      </c>
      <c r="AG62" s="254" t="e">
        <f t="shared" si="47"/>
        <v>#VALUE!</v>
      </c>
      <c r="AH62" s="275" t="e">
        <f t="shared" si="48"/>
        <v>#VALUE!</v>
      </c>
      <c r="AI62" s="275">
        <f t="shared" si="51"/>
        <v>1943.6018043075194</v>
      </c>
      <c r="AJ62" s="275"/>
      <c r="AK62" s="275" t="e">
        <f t="shared" si="52"/>
        <v>#VALUE!</v>
      </c>
      <c r="AL62" s="275" t="e">
        <f t="shared" si="53"/>
        <v>#VALUE!</v>
      </c>
      <c r="AO62" s="255">
        <v>14</v>
      </c>
      <c r="AP62" s="242">
        <f t="shared" si="54"/>
        <v>-20296704.148619592</v>
      </c>
      <c r="AQ62" s="243" t="e">
        <f t="shared" si="55"/>
        <v>#VALUE!</v>
      </c>
      <c r="AR62" s="266" t="e">
        <f t="shared" si="56"/>
        <v>#VALUE!</v>
      </c>
      <c r="AS62" s="254" t="e">
        <f t="shared" si="49"/>
        <v>#VALUE!</v>
      </c>
    </row>
    <row r="63" spans="18:45" x14ac:dyDescent="0.25">
      <c r="X63" s="282">
        <v>15</v>
      </c>
      <c r="Y63" s="283">
        <f t="shared" si="57"/>
        <v>201780.79644366429</v>
      </c>
      <c r="Z63" s="169">
        <f t="shared" si="58"/>
        <v>119154.32394660619</v>
      </c>
      <c r="AA63" s="254">
        <f t="shared" si="45"/>
        <v>82626.472497058101</v>
      </c>
      <c r="AB63" s="283">
        <v>0</v>
      </c>
      <c r="AC63" s="169">
        <f t="shared" si="60"/>
        <v>1943.6018043075194</v>
      </c>
      <c r="AD63" s="254">
        <f t="shared" si="46"/>
        <v>1943.6018043075194</v>
      </c>
      <c r="AE63" s="283">
        <f>'Análisis Finan CCGT Nuevo'!I49</f>
        <v>20376314.71409487</v>
      </c>
      <c r="AF63" s="169">
        <f t="shared" si="50"/>
        <v>-20295631.843402117</v>
      </c>
      <c r="AG63" s="254" t="e">
        <f t="shared" si="47"/>
        <v>#VALUE!</v>
      </c>
      <c r="AH63" s="275" t="e">
        <f t="shared" si="48"/>
        <v>#VALUE!</v>
      </c>
      <c r="AI63" s="275">
        <f t="shared" si="51"/>
        <v>1943.6018043075194</v>
      </c>
      <c r="AJ63" s="275"/>
      <c r="AK63" s="275" t="e">
        <f t="shared" si="52"/>
        <v>#VALUE!</v>
      </c>
      <c r="AL63" s="275" t="e">
        <f t="shared" si="53"/>
        <v>#VALUE!</v>
      </c>
      <c r="AO63" s="255">
        <v>15</v>
      </c>
      <c r="AP63" s="242">
        <f t="shared" si="54"/>
        <v>-20295631.843402117</v>
      </c>
      <c r="AQ63" s="243" t="e">
        <f t="shared" si="55"/>
        <v>#VALUE!</v>
      </c>
      <c r="AR63" s="266" t="e">
        <f t="shared" si="56"/>
        <v>#VALUE!</v>
      </c>
      <c r="AS63" s="254" t="e">
        <f t="shared" si="49"/>
        <v>#VALUE!</v>
      </c>
    </row>
    <row r="64" spans="18:45" x14ac:dyDescent="0.25">
      <c r="X64" s="282">
        <v>16</v>
      </c>
      <c r="Y64" s="283">
        <f t="shared" si="57"/>
        <v>204192.08610956886</v>
      </c>
      <c r="Z64" s="169">
        <f t="shared" si="58"/>
        <v>120560.24050131009</v>
      </c>
      <c r="AA64" s="254">
        <f t="shared" si="45"/>
        <v>83631.845608258765</v>
      </c>
      <c r="AB64" s="283">
        <v>0</v>
      </c>
      <c r="AC64" s="169">
        <f t="shared" si="60"/>
        <v>1943.6018043075194</v>
      </c>
      <c r="AD64" s="254">
        <f t="shared" si="46"/>
        <v>1943.6018043075194</v>
      </c>
      <c r="AE64" s="283">
        <f>'Análisis Finan CCGT Nuevo'!I50</f>
        <v>20376314.71409487</v>
      </c>
      <c r="AF64" s="169">
        <f t="shared" si="50"/>
        <v>-20294626.470290918</v>
      </c>
      <c r="AG64" s="254" t="e">
        <f t="shared" si="47"/>
        <v>#VALUE!</v>
      </c>
      <c r="AH64" s="275" t="e">
        <f t="shared" si="48"/>
        <v>#VALUE!</v>
      </c>
      <c r="AI64" s="275">
        <f t="shared" si="51"/>
        <v>1943.6018043075194</v>
      </c>
      <c r="AJ64" s="275"/>
      <c r="AK64" s="275" t="e">
        <f t="shared" si="52"/>
        <v>#VALUE!</v>
      </c>
      <c r="AL64" s="275" t="e">
        <f t="shared" si="53"/>
        <v>#VALUE!</v>
      </c>
      <c r="AO64" s="255">
        <v>16</v>
      </c>
      <c r="AP64" s="242">
        <f t="shared" si="54"/>
        <v>-20294626.470290918</v>
      </c>
      <c r="AQ64" s="243" t="e">
        <f t="shared" si="55"/>
        <v>#VALUE!</v>
      </c>
      <c r="AR64" s="266" t="e">
        <f t="shared" si="56"/>
        <v>#VALUE!</v>
      </c>
      <c r="AS64" s="254" t="e">
        <f t="shared" si="49"/>
        <v>#VALUE!</v>
      </c>
    </row>
    <row r="65" spans="24:45" x14ac:dyDescent="0.25">
      <c r="X65" s="285">
        <v>17</v>
      </c>
      <c r="Y65" s="286">
        <f t="shared" si="57"/>
        <v>205507.49037366104</v>
      </c>
      <c r="Z65" s="250">
        <f t="shared" si="58"/>
        <v>120796.85828997998</v>
      </c>
      <c r="AA65" s="264">
        <f t="shared" si="45"/>
        <v>84710.632083681063</v>
      </c>
      <c r="AB65" s="286">
        <v>0</v>
      </c>
      <c r="AC65" s="250">
        <f t="shared" si="60"/>
        <v>1943.6018043075194</v>
      </c>
      <c r="AD65" s="264">
        <f t="shared" si="46"/>
        <v>1943.6018043075194</v>
      </c>
      <c r="AE65" s="286">
        <f>'Análisis Finan CCGT Nuevo'!I51</f>
        <v>20376314.71409487</v>
      </c>
      <c r="AF65" s="250">
        <f t="shared" si="50"/>
        <v>-20293547.683815498</v>
      </c>
      <c r="AG65" s="264" t="e">
        <f t="shared" si="47"/>
        <v>#VALUE!</v>
      </c>
      <c r="AH65" s="276" t="e">
        <f t="shared" si="48"/>
        <v>#VALUE!</v>
      </c>
      <c r="AI65" s="276">
        <f t="shared" si="51"/>
        <v>1943.6018043075194</v>
      </c>
      <c r="AJ65" s="276"/>
      <c r="AK65" s="276" t="e">
        <f t="shared" si="52"/>
        <v>#VALUE!</v>
      </c>
      <c r="AL65" s="276" t="e">
        <f t="shared" si="53"/>
        <v>#VALUE!</v>
      </c>
      <c r="AO65" s="258">
        <v>17</v>
      </c>
      <c r="AP65" s="256">
        <f t="shared" si="54"/>
        <v>-20293547.683815498</v>
      </c>
      <c r="AQ65" s="257" t="e">
        <f t="shared" si="55"/>
        <v>#VALUE!</v>
      </c>
      <c r="AR65" s="267" t="e">
        <f t="shared" si="56"/>
        <v>#VALUE!</v>
      </c>
      <c r="AS65" s="264" t="e">
        <f t="shared" si="49"/>
        <v>#VALUE!</v>
      </c>
    </row>
  </sheetData>
  <mergeCells count="74">
    <mergeCell ref="AI46:AI47"/>
    <mergeCell ref="AJ46:AJ47"/>
    <mergeCell ref="AK46:AK47"/>
    <mergeCell ref="AL46:AL47"/>
    <mergeCell ref="AO46:AS46"/>
    <mergeCell ref="AD46:AD47"/>
    <mergeCell ref="AE46:AE47"/>
    <mergeCell ref="AF46:AF47"/>
    <mergeCell ref="AG46:AG47"/>
    <mergeCell ref="AH46:AH47"/>
    <mergeCell ref="X46:X47"/>
    <mergeCell ref="Y46:Y47"/>
    <mergeCell ref="Z46:Z47"/>
    <mergeCell ref="AA46:AA47"/>
    <mergeCell ref="AB46:AC46"/>
    <mergeCell ref="AB2:AC2"/>
    <mergeCell ref="AI2:AI3"/>
    <mergeCell ref="AJ2:AJ3"/>
    <mergeCell ref="AK2:AK3"/>
    <mergeCell ref="AD2:AD3"/>
    <mergeCell ref="AE2:AE3"/>
    <mergeCell ref="AF2:AF3"/>
    <mergeCell ref="AG2:AG3"/>
    <mergeCell ref="AH2:AH3"/>
    <mergeCell ref="E24:G24"/>
    <mergeCell ref="X2:X3"/>
    <mergeCell ref="Y2:Y3"/>
    <mergeCell ref="Z2:Z3"/>
    <mergeCell ref="AA2:AA3"/>
    <mergeCell ref="N3:N4"/>
    <mergeCell ref="J30:K30"/>
    <mergeCell ref="L30:M30"/>
    <mergeCell ref="N30:O30"/>
    <mergeCell ref="J24:K24"/>
    <mergeCell ref="AO2:AS2"/>
    <mergeCell ref="Y24:Y25"/>
    <mergeCell ref="Z24:Z25"/>
    <mergeCell ref="AA24:AA25"/>
    <mergeCell ref="O3:V3"/>
    <mergeCell ref="S25:T25"/>
    <mergeCell ref="AO24:AS24"/>
    <mergeCell ref="AK24:AK25"/>
    <mergeCell ref="AL24:AL25"/>
    <mergeCell ref="AM24:AM25"/>
    <mergeCell ref="X24:X25"/>
    <mergeCell ref="AB24:AC24"/>
    <mergeCell ref="C2:D2"/>
    <mergeCell ref="K3:K4"/>
    <mergeCell ref="J3:J4"/>
    <mergeCell ref="M3:M4"/>
    <mergeCell ref="L3:L4"/>
    <mergeCell ref="B14:D14"/>
    <mergeCell ref="B15:D15"/>
    <mergeCell ref="B16:D16"/>
    <mergeCell ref="B17:D17"/>
    <mergeCell ref="B18:D18"/>
    <mergeCell ref="AI24:AI25"/>
    <mergeCell ref="AJ24:AJ25"/>
    <mergeCell ref="AD24:AD25"/>
    <mergeCell ref="AF24:AF25"/>
    <mergeCell ref="AE24:AE25"/>
    <mergeCell ref="AG24:AG25"/>
    <mergeCell ref="AH24:AH25"/>
    <mergeCell ref="S43:T43"/>
    <mergeCell ref="S44:T44"/>
    <mergeCell ref="S45:T45"/>
    <mergeCell ref="S46:T46"/>
    <mergeCell ref="S47:T47"/>
    <mergeCell ref="S53:T53"/>
    <mergeCell ref="S48:T48"/>
    <mergeCell ref="S49:T49"/>
    <mergeCell ref="S50:T50"/>
    <mergeCell ref="S51:T51"/>
    <mergeCell ref="S52:T52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4"/>
  <sheetViews>
    <sheetView topLeftCell="J1" workbookViewId="0">
      <selection activeCell="O1" sqref="O1:X54"/>
    </sheetView>
  </sheetViews>
  <sheetFormatPr baseColWidth="10" defaultRowHeight="15" x14ac:dyDescent="0.25"/>
  <cols>
    <col min="1" max="1" width="16.28515625" customWidth="1"/>
    <col min="2" max="2" width="5.7109375" customWidth="1"/>
    <col min="3" max="12" width="10.7109375" customWidth="1"/>
  </cols>
  <sheetData>
    <row r="1" spans="2:24" x14ac:dyDescent="0.25">
      <c r="O1" s="889" t="s">
        <v>304</v>
      </c>
      <c r="P1" s="889"/>
      <c r="Q1" s="889"/>
      <c r="R1" s="889"/>
      <c r="S1" s="889"/>
      <c r="T1" s="889"/>
      <c r="U1" s="889"/>
      <c r="V1" s="889"/>
      <c r="W1" s="889"/>
      <c r="X1" s="889"/>
    </row>
    <row r="2" spans="2:24" x14ac:dyDescent="0.25">
      <c r="B2" s="713"/>
      <c r="C2" s="715">
        <v>2009</v>
      </c>
      <c r="D2" s="715">
        <v>2010</v>
      </c>
      <c r="E2" s="715">
        <v>2011</v>
      </c>
      <c r="F2" s="715">
        <v>2012</v>
      </c>
      <c r="G2" s="715">
        <v>2013</v>
      </c>
      <c r="H2" s="715">
        <v>2014</v>
      </c>
      <c r="I2" s="715">
        <v>2015</v>
      </c>
      <c r="J2" s="715">
        <v>2016</v>
      </c>
      <c r="K2" s="715">
        <v>2017</v>
      </c>
      <c r="L2" s="715">
        <v>2018</v>
      </c>
      <c r="O2" s="713"/>
      <c r="P2" s="715">
        <v>2018</v>
      </c>
      <c r="Q2" s="715">
        <v>2019</v>
      </c>
      <c r="R2" s="715">
        <v>2020</v>
      </c>
      <c r="S2" s="715">
        <v>2021</v>
      </c>
      <c r="T2" s="715">
        <v>2022</v>
      </c>
      <c r="U2" s="715">
        <v>2023</v>
      </c>
      <c r="V2" s="715">
        <v>2024</v>
      </c>
      <c r="W2" s="715">
        <v>2025</v>
      </c>
      <c r="X2" s="715">
        <v>2026</v>
      </c>
    </row>
    <row r="3" spans="2:24" x14ac:dyDescent="0.25">
      <c r="B3" s="716" t="s">
        <v>290</v>
      </c>
      <c r="C3" s="718">
        <f>'Calculo precio energia'!D5</f>
        <v>99.81</v>
      </c>
      <c r="D3" s="718">
        <f>'Calculo precio energia'!D17</f>
        <v>100.44</v>
      </c>
      <c r="E3" s="718">
        <f>'Calculo precio energia'!D29</f>
        <v>102.77</v>
      </c>
      <c r="F3" s="718">
        <f>'Calculo precio energia'!D41</f>
        <v>107.65</v>
      </c>
      <c r="G3" s="718">
        <f>'Calculo precio energia'!D53</f>
        <v>108.59</v>
      </c>
      <c r="H3" s="718">
        <f>'Calculo precio energia'!D65</f>
        <v>109.51</v>
      </c>
      <c r="I3" s="718">
        <f>'Calculo precio energia'!D77</f>
        <v>108.69</v>
      </c>
      <c r="J3" s="718">
        <f>'Calculo precio energia'!D89</f>
        <v>110.67</v>
      </c>
      <c r="K3" s="718">
        <f>'Calculo precio energia'!D101</f>
        <v>110.39</v>
      </c>
      <c r="L3" s="718">
        <f>'Calculo precio energia'!D113</f>
        <v>111.96</v>
      </c>
      <c r="O3" s="716" t="s">
        <v>290</v>
      </c>
      <c r="P3" s="718"/>
      <c r="Q3" s="718">
        <f>'Calculo precio energia'!D125</f>
        <v>113.13331621358653</v>
      </c>
      <c r="R3" s="718">
        <f>'Calculo precio energia'!D137</f>
        <v>114.57355554856893</v>
      </c>
      <c r="S3" s="718">
        <f>'Calculo precio energia'!D149</f>
        <v>116.03212979506507</v>
      </c>
      <c r="T3" s="718">
        <f>'Calculo precio energia'!D161</f>
        <v>117.50927236496148</v>
      </c>
      <c r="U3" s="718">
        <f>'Calculo precio energia'!D173</f>
        <v>119.0052196415857</v>
      </c>
      <c r="V3" s="718">
        <f>'Calculo precio energia'!D185</f>
        <v>120.52021101753417</v>
      </c>
      <c r="W3" s="718">
        <f>'Calculo precio energia'!D197</f>
        <v>122.05448893298158</v>
      </c>
      <c r="X3" s="718">
        <f>'Calculo precio energia'!D209</f>
        <v>123.60829891447797</v>
      </c>
    </row>
    <row r="4" spans="2:24" x14ac:dyDescent="0.25">
      <c r="B4" s="716" t="s">
        <v>291</v>
      </c>
      <c r="C4" s="718">
        <f>'Calculo precio energia'!D6</f>
        <v>99.95</v>
      </c>
      <c r="D4" s="718">
        <f>'Calculo precio energia'!D18</f>
        <v>100.57</v>
      </c>
      <c r="E4" s="718">
        <f>'Calculo precio energia'!D30</f>
        <v>102.96</v>
      </c>
      <c r="F4" s="718">
        <f>'Calculo precio energia'!D42</f>
        <v>108</v>
      </c>
      <c r="G4" s="718">
        <f>'Calculo precio energia'!D54</f>
        <v>109.05</v>
      </c>
      <c r="H4" s="718">
        <f>'Calculo precio energia'!D66</f>
        <v>109.72</v>
      </c>
      <c r="I4" s="718">
        <f>'Calculo precio energia'!D78</f>
        <v>108.57</v>
      </c>
      <c r="J4" s="718">
        <f>'Calculo precio energia'!D90</f>
        <v>110.37</v>
      </c>
      <c r="K4" s="718">
        <f>'Calculo precio energia'!D102</f>
        <v>110.69</v>
      </c>
      <c r="L4" s="718">
        <f>'Calculo precio energia'!D114</f>
        <v>112.05</v>
      </c>
      <c r="O4" s="716" t="s">
        <v>291</v>
      </c>
      <c r="P4" s="718"/>
      <c r="Q4" s="718">
        <f>'Calculo precio energia'!D126</f>
        <v>113.25264150977804</v>
      </c>
      <c r="R4" s="718">
        <f>'Calculo precio energia'!D138</f>
        <v>114.69439991085862</v>
      </c>
      <c r="S4" s="718">
        <f>'Calculo precio energia'!D150</f>
        <v>116.15451256186553</v>
      </c>
      <c r="T4" s="718">
        <f>'Calculo precio energia'!D162</f>
        <v>117.6332131208722</v>
      </c>
      <c r="U4" s="718">
        <f>'Calculo precio energia'!D174</f>
        <v>119.13073822052721</v>
      </c>
      <c r="V4" s="718">
        <f>'Calculo precio energia'!D186</f>
        <v>120.64732750592192</v>
      </c>
      <c r="W4" s="718">
        <f>'Calculo precio energia'!D198</f>
        <v>122.18322367294039</v>
      </c>
      <c r="X4" s="718">
        <f>'Calculo precio energia'!D210</f>
        <v>123.73867250709726</v>
      </c>
    </row>
    <row r="5" spans="2:24" x14ac:dyDescent="0.25">
      <c r="B5" s="716" t="s">
        <v>292</v>
      </c>
      <c r="C5" s="718">
        <f>'Calculo precio energia'!D7</f>
        <v>100.72</v>
      </c>
      <c r="D5" s="718">
        <f>'Calculo precio energia'!D19</f>
        <v>100.89</v>
      </c>
      <c r="E5" s="718">
        <f>'Calculo precio energia'!D31</f>
        <v>103.63</v>
      </c>
      <c r="F5" s="718">
        <f>'Calculo precio energia'!D43</f>
        <v>108.16</v>
      </c>
      <c r="G5" s="718">
        <f>'Calculo precio energia'!D55</f>
        <v>109.54</v>
      </c>
      <c r="H5" s="718">
        <f>'Calculo precio energia'!D67</f>
        <v>109.99</v>
      </c>
      <c r="I5" s="718">
        <f>'Calculo precio energia'!D79</f>
        <v>109.1</v>
      </c>
      <c r="J5" s="718">
        <f>'Calculo precio energia'!D91</f>
        <v>110.32</v>
      </c>
      <c r="K5" s="718">
        <f>'Calculo precio energia'!D103</f>
        <v>110.92</v>
      </c>
      <c r="L5" s="718">
        <f>'Calculo precio energia'!D115</f>
        <v>111.93</v>
      </c>
      <c r="O5" s="716" t="s">
        <v>292</v>
      </c>
      <c r="P5" s="718"/>
      <c r="Q5" s="718">
        <f>'Calculo precio energia'!D127</f>
        <v>113.3720926621434</v>
      </c>
      <c r="R5" s="718">
        <f>'Calculo precio energia'!D139</f>
        <v>114.81537173152932</v>
      </c>
      <c r="S5" s="718">
        <f>'Calculo precio energia'!D151</f>
        <v>116.27702440965102</v>
      </c>
      <c r="T5" s="718">
        <f>'Calculo precio energia'!D163</f>
        <v>117.75728460102849</v>
      </c>
      <c r="U5" s="718">
        <f>'Calculo precio energia'!D175</f>
        <v>119.25638918789426</v>
      </c>
      <c r="V5" s="718">
        <f>'Calculo precio energia'!D187</f>
        <v>120.77457806810098</v>
      </c>
      <c r="W5" s="718">
        <f>'Calculo precio energia'!D199</f>
        <v>122.31209419351174</v>
      </c>
      <c r="X5" s="718">
        <f>'Calculo precio energia'!D211</f>
        <v>123.86918360887898</v>
      </c>
    </row>
    <row r="6" spans="2:24" x14ac:dyDescent="0.25">
      <c r="B6" s="716" t="s">
        <v>293</v>
      </c>
      <c r="C6" s="718">
        <f>'Calculo precio energia'!D8</f>
        <v>100.55</v>
      </c>
      <c r="D6" s="718">
        <f>'Calculo precio energia'!D20</f>
        <v>100.71</v>
      </c>
      <c r="E6" s="718">
        <f>'Calculo precio energia'!D32</f>
        <v>106.71</v>
      </c>
      <c r="F6" s="718">
        <f>'Calculo precio energia'!D44</f>
        <v>108.83</v>
      </c>
      <c r="G6" s="718">
        <f>'Calculo precio energia'!D56</f>
        <v>108.85</v>
      </c>
      <c r="H6" s="718">
        <f>'Calculo precio energia'!D68</f>
        <v>109.47</v>
      </c>
      <c r="I6" s="718">
        <f>'Calculo precio energia'!D80</f>
        <v>109.11</v>
      </c>
      <c r="J6" s="718">
        <f>'Calculo precio energia'!D92</f>
        <v>110.05</v>
      </c>
      <c r="K6" s="718">
        <f>'Calculo precio energia'!D104</f>
        <v>111</v>
      </c>
      <c r="L6" s="718">
        <f>'Calculo precio energia'!D116</f>
        <v>111.97</v>
      </c>
      <c r="O6" s="716" t="s">
        <v>293</v>
      </c>
      <c r="P6" s="718"/>
      <c r="Q6" s="718">
        <f>'Calculo precio energia'!D128</f>
        <v>113.49166980342709</v>
      </c>
      <c r="R6" s="718">
        <f>'Calculo precio energia'!D140</f>
        <v>114.93647114501545</v>
      </c>
      <c r="S6" s="718">
        <f>'Calculo precio energia'!D152</f>
        <v>116.39966547456736</v>
      </c>
      <c r="T6" s="718">
        <f>'Calculo precio energia'!D164</f>
        <v>117.88148694330934</v>
      </c>
      <c r="U6" s="718">
        <f>'Calculo precio energia'!D176</f>
        <v>119.38217268332112</v>
      </c>
      <c r="V6" s="718">
        <f>'Calculo precio energia'!D188</f>
        <v>120.90196284548323</v>
      </c>
      <c r="W6" s="718">
        <f>'Calculo precio energia'!D200</f>
        <v>122.44110063790777</v>
      </c>
      <c r="X6" s="718">
        <f>'Calculo precio energia'!D212</f>
        <v>123.99983236485841</v>
      </c>
    </row>
    <row r="7" spans="2:24" x14ac:dyDescent="0.25">
      <c r="B7" s="716" t="s">
        <v>294</v>
      </c>
      <c r="C7" s="718">
        <f>'Calculo precio energia'!D9</f>
        <v>100.61</v>
      </c>
      <c r="D7" s="718">
        <f>'Calculo precio energia'!D21</f>
        <v>100.5</v>
      </c>
      <c r="E7" s="718">
        <f>'Calculo precio energia'!D33</f>
        <v>107.23</v>
      </c>
      <c r="F7" s="718">
        <f>'Calculo precio energia'!D45</f>
        <v>108.53</v>
      </c>
      <c r="G7" s="718">
        <f>'Calculo precio energia'!D57</f>
        <v>108.69</v>
      </c>
      <c r="H7" s="718">
        <f>'Calculo precio energia'!D69</f>
        <v>109.72</v>
      </c>
      <c r="I7" s="718">
        <f>'Calculo precio energia'!D81</f>
        <v>109.33</v>
      </c>
      <c r="J7" s="718">
        <f>'Calculo precio energia'!D93</f>
        <v>110.13</v>
      </c>
      <c r="K7" s="718">
        <f>'Calculo precio energia'!D105</f>
        <v>111.19</v>
      </c>
      <c r="L7" s="718">
        <f>'Calculo precio energia'!D117</f>
        <v>112.11</v>
      </c>
      <c r="O7" s="716" t="s">
        <v>294</v>
      </c>
      <c r="P7" s="718"/>
      <c r="Q7" s="718">
        <f>'Calculo precio energia'!D129</f>
        <v>113.61137306651359</v>
      </c>
      <c r="R7" s="718">
        <f>'Calculo precio energia'!D141</f>
        <v>115.05769828589317</v>
      </c>
      <c r="S7" s="718">
        <f>'Calculo precio energia'!D153</f>
        <v>116.52243589290394</v>
      </c>
      <c r="T7" s="718">
        <f>'Calculo precio energia'!D165</f>
        <v>118.00582028573919</v>
      </c>
      <c r="U7" s="718">
        <f>'Calculo precio energia'!D177</f>
        <v>119.50808884658933</v>
      </c>
      <c r="V7" s="718">
        <f>'Calculo precio energia'!D189</f>
        <v>121.02948197962968</v>
      </c>
      <c r="W7" s="718">
        <f>'Calculo precio energia'!D201</f>
        <v>122.57024314949163</v>
      </c>
      <c r="X7" s="718">
        <f>'Calculo precio energia'!D213</f>
        <v>124.13061892022378</v>
      </c>
    </row>
    <row r="8" spans="2:24" x14ac:dyDescent="0.25">
      <c r="B8" s="716" t="s">
        <v>295</v>
      </c>
      <c r="C8" s="718">
        <f>'Calculo precio energia'!D10</f>
        <v>100.79</v>
      </c>
      <c r="D8" s="718">
        <f>'Calculo precio energia'!D22</f>
        <v>100.96</v>
      </c>
      <c r="E8" s="718">
        <f>'Calculo precio energia'!D34</f>
        <v>107.29</v>
      </c>
      <c r="F8" s="718">
        <f>'Calculo precio energia'!D46</f>
        <v>107.94</v>
      </c>
      <c r="G8" s="718">
        <f>'Calculo precio energia'!D58</f>
        <v>108.91</v>
      </c>
      <c r="H8" s="718">
        <f>'Calculo precio energia'!D70</f>
        <v>110.16</v>
      </c>
      <c r="I8" s="718">
        <f>'Calculo precio energia'!D82</f>
        <v>109.24</v>
      </c>
      <c r="J8" s="718">
        <f>'Calculo precio energia'!D94</f>
        <v>110.24</v>
      </c>
      <c r="K8" s="718">
        <f>'Calculo precio energia'!D106</f>
        <v>111.26</v>
      </c>
      <c r="L8" s="718">
        <f>'Calculo precio energia'!D118</f>
        <v>112.26</v>
      </c>
      <c r="O8" s="716" t="s">
        <v>295</v>
      </c>
      <c r="P8" s="718"/>
      <c r="Q8" s="718">
        <f>'Calculo precio energia'!D130</f>
        <v>113.73120258442761</v>
      </c>
      <c r="R8" s="718">
        <f>'Calculo precio energia'!D142</f>
        <v>115.17905328888061</v>
      </c>
      <c r="S8" s="718">
        <f>'Calculo precio energia'!D154</f>
        <v>116.64533580109394</v>
      </c>
      <c r="T8" s="718">
        <f>'Calculo precio energia'!D166</f>
        <v>118.13028476648805</v>
      </c>
      <c r="U8" s="718">
        <f>'Calculo precio energia'!D178</f>
        <v>119.63413781762789</v>
      </c>
      <c r="V8" s="718">
        <f>'Calculo precio energia'!D190</f>
        <v>121.1571356122507</v>
      </c>
      <c r="W8" s="718">
        <f>'Calculo precio energia'!D202</f>
        <v>122.69952187177772</v>
      </c>
      <c r="X8" s="718">
        <f>'Calculo precio energia'!D214</f>
        <v>124.26154342031649</v>
      </c>
    </row>
    <row r="9" spans="2:24" x14ac:dyDescent="0.25">
      <c r="B9" s="716" t="s">
        <v>296</v>
      </c>
      <c r="C9" s="718">
        <f>'Calculo precio energia'!D11</f>
        <v>100.63</v>
      </c>
      <c r="D9" s="718">
        <f>'Calculo precio energia'!D23</f>
        <v>100.98</v>
      </c>
      <c r="E9" s="718">
        <f>'Calculo precio energia'!D35</f>
        <v>107.57</v>
      </c>
      <c r="F9" s="718">
        <f>'Calculo precio energia'!D47</f>
        <v>107.61</v>
      </c>
      <c r="G9" s="718">
        <f>'Calculo precio energia'!D59</f>
        <v>108.78</v>
      </c>
      <c r="H9" s="718">
        <f>'Calculo precio energia'!D71</f>
        <v>110.77</v>
      </c>
      <c r="I9" s="718">
        <f>'Calculo precio energia'!D83</f>
        <v>109.16</v>
      </c>
      <c r="J9" s="718">
        <f>'Calculo precio energia'!D95</f>
        <v>110.12</v>
      </c>
      <c r="K9" s="718">
        <f>'Calculo precio energia'!D107</f>
        <v>111.24</v>
      </c>
      <c r="L9" s="718">
        <f>'Calculo precio energia'!D119</f>
        <v>112.42</v>
      </c>
      <c r="O9" s="716" t="s">
        <v>296</v>
      </c>
      <c r="P9" s="718"/>
      <c r="Q9" s="718">
        <f>'Calculo precio energia'!D131</f>
        <v>113.85115849033409</v>
      </c>
      <c r="R9" s="718">
        <f>'Calculo precio energia'!D143</f>
        <v>115.300536288838</v>
      </c>
      <c r="S9" s="718">
        <f>'Calculo precio energia'!D155</f>
        <v>116.76836533571438</v>
      </c>
      <c r="T9" s="718">
        <f>'Calculo precio energia'!D167</f>
        <v>118.25488052387165</v>
      </c>
      <c r="U9" s="718">
        <f>'Calculo precio energia'!D179</f>
        <v>119.76031973651335</v>
      </c>
      <c r="V9" s="718">
        <f>'Calculo precio energia'!D191</f>
        <v>121.28492388520607</v>
      </c>
      <c r="W9" s="718">
        <f>'Calculo precio energia'!D203</f>
        <v>122.82893694843177</v>
      </c>
      <c r="X9" s="718">
        <f>'Calculo precio energia'!D215</f>
        <v>124.39260601063118</v>
      </c>
    </row>
    <row r="10" spans="2:24" x14ac:dyDescent="0.25">
      <c r="B10" s="716" t="s">
        <v>297</v>
      </c>
      <c r="C10" s="718">
        <f>'Calculo precio energia'!D12</f>
        <v>100.4</v>
      </c>
      <c r="D10" s="718">
        <f>'Calculo precio energia'!D24</f>
        <v>100.81</v>
      </c>
      <c r="E10" s="718">
        <f>'Calculo precio energia'!D36</f>
        <v>107.69</v>
      </c>
      <c r="F10" s="718">
        <f>'Calculo precio energia'!D48</f>
        <v>107.8</v>
      </c>
      <c r="G10" s="718">
        <f>'Calculo precio energia'!D60</f>
        <v>108.87</v>
      </c>
      <c r="H10" s="718">
        <f>'Calculo precio energia'!D72</f>
        <v>111.04</v>
      </c>
      <c r="I10" s="718">
        <f>'Calculo precio energia'!D84</f>
        <v>108.82</v>
      </c>
      <c r="J10" s="718">
        <f>'Calculo precio energia'!D96</f>
        <v>109.85</v>
      </c>
      <c r="K10" s="718">
        <f>'Calculo precio energia'!D108</f>
        <v>111.1</v>
      </c>
      <c r="L10" s="718"/>
      <c r="O10" s="716" t="s">
        <v>297</v>
      </c>
      <c r="P10" s="718">
        <f>'Calculo precio energia'!D120</f>
        <v>112.53857293896102</v>
      </c>
      <c r="Q10" s="718">
        <f>'Calculo precio energia'!D132</f>
        <v>113.97124091753845</v>
      </c>
      <c r="R10" s="718">
        <f>'Calculo precio energia'!D144</f>
        <v>115.42214742076781</v>
      </c>
      <c r="S10" s="718">
        <f>'Calculo precio energia'!D156</f>
        <v>116.89152463348638</v>
      </c>
      <c r="T10" s="718">
        <f>'Calculo precio energia'!D168</f>
        <v>118.37960769635163</v>
      </c>
      <c r="U10" s="718">
        <f>'Calculo precio energia'!D180</f>
        <v>119.88663474347003</v>
      </c>
      <c r="V10" s="718">
        <f>'Calculo precio energia'!D192</f>
        <v>121.41284694050523</v>
      </c>
      <c r="W10" s="718">
        <f>'Calculo precio energia'!D204</f>
        <v>122.95848852327107</v>
      </c>
      <c r="X10" s="718">
        <f>'Calculo precio energia'!D216</f>
        <v>124.52380683681604</v>
      </c>
    </row>
    <row r="11" spans="2:24" x14ac:dyDescent="0.25">
      <c r="B11" s="716" t="s">
        <v>298</v>
      </c>
      <c r="C11" s="718">
        <f>'Calculo precio energia'!D13</f>
        <v>100.2</v>
      </c>
      <c r="D11" s="718">
        <f>'Calculo precio energia'!D25</f>
        <v>101.11</v>
      </c>
      <c r="E11" s="718">
        <f>'Calculo precio energia'!D37</f>
        <v>107.4</v>
      </c>
      <c r="F11" s="718">
        <f>'Calculo precio energia'!D49</f>
        <v>108.24</v>
      </c>
      <c r="G11" s="718">
        <f>'Calculo precio energia'!D61</f>
        <v>109.06</v>
      </c>
      <c r="H11" s="718">
        <f>'Calculo precio energia'!D73</f>
        <v>110.92</v>
      </c>
      <c r="I11" s="718">
        <f>'Calculo precio energia'!D85</f>
        <v>108.41</v>
      </c>
      <c r="J11" s="718">
        <f>'Calculo precio energia'!D97</f>
        <v>109.51</v>
      </c>
      <c r="K11" s="718">
        <f>'Calculo precio energia'!D109</f>
        <v>111.22</v>
      </c>
      <c r="L11" s="718"/>
      <c r="O11" s="716" t="s">
        <v>298</v>
      </c>
      <c r="P11" s="718">
        <f>'Calculo precio energia'!D121</f>
        <v>112.65727094056085</v>
      </c>
      <c r="Q11" s="718">
        <f>'Calculo precio energia'!D133</f>
        <v>114.09144999948674</v>
      </c>
      <c r="R11" s="718">
        <f>'Calculo precio energia'!D145</f>
        <v>115.54388681981489</v>
      </c>
      <c r="S11" s="718">
        <f>'Calculo precio energia'!D157</f>
        <v>117.01481383127528</v>
      </c>
      <c r="T11" s="718">
        <f>'Calculo precio energia'!D169</f>
        <v>118.50446642253566</v>
      </c>
      <c r="U11" s="718">
        <f>'Calculo precio energia'!D181</f>
        <v>120.01308297887013</v>
      </c>
      <c r="V11" s="718">
        <f>'Calculo precio energia'!D193</f>
        <v>121.5409049203074</v>
      </c>
      <c r="W11" s="718">
        <f>'Calculo precio energia'!D205</f>
        <v>123.08817674026457</v>
      </c>
      <c r="X11" s="718">
        <f>'Calculo precio energia'!D217</f>
        <v>124.65514604467278</v>
      </c>
    </row>
    <row r="12" spans="2:24" x14ac:dyDescent="0.25">
      <c r="B12" s="716" t="s">
        <v>299</v>
      </c>
      <c r="C12" s="718">
        <f>'Calculo precio energia'!D14</f>
        <v>99.46</v>
      </c>
      <c r="D12" s="718">
        <f>'Calculo precio energia'!D26</f>
        <v>101.78</v>
      </c>
      <c r="E12" s="718">
        <f>'Calculo precio energia'!D38</f>
        <v>107.32</v>
      </c>
      <c r="F12" s="718">
        <f>'Calculo precio energia'!D50</f>
        <v>108.34</v>
      </c>
      <c r="G12" s="718">
        <f>'Calculo precio energia'!D62</f>
        <v>108.91</v>
      </c>
      <c r="H12" s="718">
        <f>'Calculo precio energia'!D74</f>
        <v>110.96</v>
      </c>
      <c r="I12" s="718">
        <f>'Calculo precio energia'!D86</f>
        <v>110.77</v>
      </c>
      <c r="J12" s="718">
        <f>'Calculo precio energia'!D98</f>
        <v>109.79</v>
      </c>
      <c r="K12" s="718">
        <f>'Calculo precio energia'!D110</f>
        <v>111.36</v>
      </c>
      <c r="L12" s="718"/>
      <c r="O12" s="716" t="s">
        <v>299</v>
      </c>
      <c r="P12" s="718">
        <f>'Calculo precio energia'!D122</f>
        <v>112.776094136707</v>
      </c>
      <c r="Q12" s="718">
        <f>'Calculo precio energia'!D134</f>
        <v>114.21178586976572</v>
      </c>
      <c r="R12" s="718">
        <f>'Calculo precio energia'!D146</f>
        <v>115.66575462126663</v>
      </c>
      <c r="S12" s="718">
        <f>'Calculo precio energia'!D158</f>
        <v>117.13823306609071</v>
      </c>
      <c r="T12" s="718">
        <f>'Calculo precio energia'!D170</f>
        <v>118.6294568411776</v>
      </c>
      <c r="U12" s="718">
        <f>'Calculo precio energia'!D182</f>
        <v>120.13966458323392</v>
      </c>
      <c r="V12" s="718">
        <f>'Calculo precio energia'!D194</f>
        <v>121.66909796692173</v>
      </c>
      <c r="W12" s="718">
        <f>'Calculo precio energia'!D206</f>
        <v>123.21800174353308</v>
      </c>
      <c r="X12" s="718">
        <f>'Calculo precio energia'!D218</f>
        <v>124.78662378015696</v>
      </c>
    </row>
    <row r="13" spans="2:24" x14ac:dyDescent="0.25">
      <c r="B13" s="716" t="s">
        <v>300</v>
      </c>
      <c r="C13" s="718">
        <f>'Calculo precio energia'!D15</f>
        <v>99.06</v>
      </c>
      <c r="D13" s="718">
        <f>'Calculo precio energia'!D27</f>
        <v>102.24</v>
      </c>
      <c r="E13" s="718">
        <f>'Calculo precio energia'!D39</f>
        <v>107.48</v>
      </c>
      <c r="F13" s="718">
        <f>'Calculo precio energia'!D51</f>
        <v>108.18</v>
      </c>
      <c r="G13" s="718">
        <f>'Calculo precio energia'!D63</f>
        <v>109</v>
      </c>
      <c r="H13" s="718">
        <f>'Calculo precio energia'!D75</f>
        <v>110.41</v>
      </c>
      <c r="I13" s="718">
        <f>'Calculo precio energia'!D87</f>
        <v>110.69</v>
      </c>
      <c r="J13" s="718">
        <f>'Calculo precio energia'!D99</f>
        <v>109.78</v>
      </c>
      <c r="K13" s="718">
        <f>'Calculo precio energia'!D111</f>
        <v>111.62</v>
      </c>
      <c r="L13" s="718"/>
      <c r="O13" s="716" t="s">
        <v>300</v>
      </c>
      <c r="P13" s="718">
        <f>'Calculo precio energia'!D123</f>
        <v>112.89504265944613</v>
      </c>
      <c r="Q13" s="718">
        <f>'Calculo precio energia'!D135</f>
        <v>114.33224866210307</v>
      </c>
      <c r="R13" s="718">
        <f>'Calculo precio energia'!D147</f>
        <v>115.78775096055313</v>
      </c>
      <c r="S13" s="718">
        <f>'Calculo precio energia'!D159</f>
        <v>117.26178247508686</v>
      </c>
      <c r="T13" s="718">
        <f>'Calculo precio energia'!D171</f>
        <v>118.75457909117767</v>
      </c>
      <c r="U13" s="718">
        <f>'Calculo precio energia'!D183</f>
        <v>120.26637969722988</v>
      </c>
      <c r="V13" s="718">
        <f>'Calculo precio energia'!D195</f>
        <v>121.79742622280746</v>
      </c>
      <c r="W13" s="718">
        <f>'Calculo precio energia'!D207</f>
        <v>123.34796367734944</v>
      </c>
      <c r="X13" s="718">
        <f>'Calculo precio energia'!D219</f>
        <v>124.91824018937805</v>
      </c>
    </row>
    <row r="14" spans="2:24" x14ac:dyDescent="0.25">
      <c r="B14" s="716" t="s">
        <v>301</v>
      </c>
      <c r="C14" s="718">
        <f>'Calculo precio energia'!D16</f>
        <v>100</v>
      </c>
      <c r="D14" s="718">
        <f>'Calculo precio energia'!D28</f>
        <v>102.13</v>
      </c>
      <c r="E14" s="718">
        <f>'Calculo precio energia'!D40</f>
        <v>107.29</v>
      </c>
      <c r="F14" s="718">
        <f>'Calculo precio energia'!D52</f>
        <v>108.13</v>
      </c>
      <c r="G14" s="718">
        <f>'Calculo precio energia'!D64</f>
        <v>108.99</v>
      </c>
      <c r="H14" s="718">
        <f>'Calculo precio energia'!D76</f>
        <v>109.5</v>
      </c>
      <c r="I14" s="718">
        <f>'Calculo precio energia'!D88</f>
        <v>110.61</v>
      </c>
      <c r="J14" s="718">
        <f>'Calculo precio energia'!D100</f>
        <v>109.58</v>
      </c>
      <c r="K14" s="718">
        <f>'Calculo precio energia'!D112</f>
        <v>111.81</v>
      </c>
      <c r="L14" s="718"/>
      <c r="O14" s="716" t="s">
        <v>301</v>
      </c>
      <c r="P14" s="718">
        <f>'Calculo precio energia'!D124</f>
        <v>113.01411664096419</v>
      </c>
      <c r="Q14" s="718">
        <f>'Calculo precio energia'!D136</f>
        <v>114.4528385103675</v>
      </c>
      <c r="R14" s="718">
        <f>'Calculo precio energia'!D148</f>
        <v>115.9098759732473</v>
      </c>
      <c r="S14" s="718">
        <f>'Calculo precio energia'!D160</f>
        <v>117.38546219556257</v>
      </c>
      <c r="T14" s="718">
        <f>'Calculo precio energia'!D172</f>
        <v>118.87983331158259</v>
      </c>
      <c r="U14" s="718">
        <f>'Calculo precio energia'!D184</f>
        <v>120.39322846167484</v>
      </c>
      <c r="V14" s="718">
        <f>'Calculo precio energia'!D196</f>
        <v>121.92588983057411</v>
      </c>
      <c r="W14" s="718">
        <f>'Calculo precio energia'!D208</f>
        <v>123.47806268613863</v>
      </c>
      <c r="X14" s="718">
        <f>'Calculo precio energia'!D220</f>
        <v>125.04999541859966</v>
      </c>
    </row>
    <row r="15" spans="2:24" x14ac:dyDescent="0.25">
      <c r="B15" s="714"/>
      <c r="C15" s="714"/>
      <c r="D15" s="714"/>
      <c r="E15" s="714"/>
      <c r="F15" s="714"/>
      <c r="G15" s="889" t="s">
        <v>302</v>
      </c>
      <c r="H15" s="889"/>
      <c r="I15" s="889"/>
      <c r="J15" s="889"/>
      <c r="K15" s="889"/>
      <c r="L15" s="717">
        <f>'Calculo precio energia'!E120</f>
        <v>1.0547317110925372E-3</v>
      </c>
      <c r="O15" s="214"/>
      <c r="P15" s="715">
        <v>2027</v>
      </c>
      <c r="Q15" s="715">
        <v>2028</v>
      </c>
      <c r="R15" s="715">
        <v>2029</v>
      </c>
      <c r="S15" s="715">
        <v>2030</v>
      </c>
      <c r="T15" s="715">
        <v>2031</v>
      </c>
      <c r="U15" s="715">
        <v>2032</v>
      </c>
      <c r="V15" s="715">
        <v>2033</v>
      </c>
      <c r="W15" s="715">
        <v>2034</v>
      </c>
      <c r="X15" s="715">
        <v>2035</v>
      </c>
    </row>
    <row r="16" spans="2:24" x14ac:dyDescent="0.25">
      <c r="O16" s="716" t="s">
        <v>290</v>
      </c>
      <c r="P16" s="718">
        <f>'Calculo precio energia'!D221</f>
        <v>125.18188961423964</v>
      </c>
      <c r="Q16" s="718">
        <f>'Calculo precio energia'!D233</f>
        <v>126.77551284994043</v>
      </c>
      <c r="R16" s="718">
        <f>'Calculo precio energia'!D245</f>
        <v>128.38942364500934</v>
      </c>
      <c r="S16" s="718">
        <f>'Calculo precio energia'!D257</f>
        <v>130.02388026944135</v>
      </c>
      <c r="T16" s="718">
        <f>'Calculo precio energia'!D269</f>
        <v>131.67914428112778</v>
      </c>
      <c r="U16" s="718">
        <f>'Calculo precio energia'!D281</f>
        <v>133.35548056771256</v>
      </c>
      <c r="V16" s="718">
        <f>'Calculo precio energia'!D293</f>
        <v>135.05315738898159</v>
      </c>
      <c r="W16" s="718">
        <f>'Calculo precio energia'!D305</f>
        <v>136.77244641979161</v>
      </c>
      <c r="X16" s="718">
        <f>'Calculo precio energia'!D317</f>
        <v>138.51362279354578</v>
      </c>
    </row>
    <row r="17" spans="2:24" x14ac:dyDescent="0.25">
      <c r="B17" s="713"/>
      <c r="C17" s="715">
        <v>2009</v>
      </c>
      <c r="D17" s="715">
        <v>2010</v>
      </c>
      <c r="E17" s="715">
        <v>2011</v>
      </c>
      <c r="F17" s="715">
        <v>2012</v>
      </c>
      <c r="G17" s="715">
        <v>2013</v>
      </c>
      <c r="H17" s="715">
        <v>2014</v>
      </c>
      <c r="I17" s="715">
        <v>2015</v>
      </c>
      <c r="J17" s="715">
        <v>2016</v>
      </c>
      <c r="K17" s="715">
        <v>2017</v>
      </c>
      <c r="L17" s="715">
        <v>2018</v>
      </c>
      <c r="O17" s="716" t="s">
        <v>291</v>
      </c>
      <c r="P17" s="718">
        <f>'Calculo precio energia'!D222</f>
        <v>125.31392292287026</v>
      </c>
      <c r="Q17" s="718">
        <f>'Calculo precio energia'!D234</f>
        <v>126.90922700353327</v>
      </c>
      <c r="R17" s="718">
        <f>'Calculo precio energia'!D246</f>
        <v>128.52484004149662</v>
      </c>
      <c r="S17" s="718">
        <f>'Calculo precio energia'!D258</f>
        <v>130.16102057916083</v>
      </c>
      <c r="T17" s="718">
        <f>'Calculo precio energia'!D270</f>
        <v>131.81803045029059</v>
      </c>
      <c r="U17" s="718">
        <f>'Calculo precio energia'!D282</f>
        <v>133.49613482191532</v>
      </c>
      <c r="V17" s="718">
        <f>'Calculo precio energia'!D294</f>
        <v>135.19560223676291</v>
      </c>
      <c r="W17" s="718">
        <f>'Calculo precio energia'!D306</f>
        <v>136.91670465623426</v>
      </c>
      <c r="X17" s="718">
        <f>'Calculo precio energia'!D318</f>
        <v>138.65971750392444</v>
      </c>
    </row>
    <row r="18" spans="2:24" x14ac:dyDescent="0.25">
      <c r="B18" s="716" t="s">
        <v>290</v>
      </c>
      <c r="C18" s="719">
        <f>'Calculo precio energia'!K5</f>
        <v>211.143</v>
      </c>
      <c r="D18" s="719">
        <f>'Calculo precio energia'!K17</f>
        <v>216.68700000000001</v>
      </c>
      <c r="E18" s="719">
        <f>'Calculo precio energia'!K29</f>
        <v>220.22300000000001</v>
      </c>
      <c r="F18" s="719">
        <f>'Calculo precio energia'!K41</f>
        <v>226.655</v>
      </c>
      <c r="G18" s="719">
        <f>'Calculo precio energia'!K53</f>
        <v>230.28</v>
      </c>
      <c r="H18" s="719">
        <f>'Calculo precio energia'!K65</f>
        <v>233.916</v>
      </c>
      <c r="I18" s="719">
        <f>'Calculo precio energia'!K77</f>
        <v>233.70699999999999</v>
      </c>
      <c r="J18" s="719">
        <f>'Calculo precio energia'!K89</f>
        <v>236.916</v>
      </c>
      <c r="K18" s="719">
        <f>'Calculo precio energia'!K101</f>
        <v>242.839</v>
      </c>
      <c r="L18" s="719">
        <f>'Calculo precio energia'!K113</f>
        <v>247.86699999999999</v>
      </c>
      <c r="O18" s="716" t="s">
        <v>292</v>
      </c>
      <c r="P18" s="718">
        <f>'Calculo precio energia'!D223</f>
        <v>125.44609549121841</v>
      </c>
      <c r="Q18" s="718">
        <f>'Calculo precio energia'!D235</f>
        <v>127.04308218968414</v>
      </c>
      <c r="R18" s="718">
        <f>'Calculo precio energia'!D247</f>
        <v>128.66039926595147</v>
      </c>
      <c r="S18" s="718">
        <f>'Calculo precio energia'!D259</f>
        <v>130.29830553511383</v>
      </c>
      <c r="T18" s="718">
        <f>'Calculo precio energia'!D271</f>
        <v>131.95706310710028</v>
      </c>
      <c r="U18" s="718">
        <f>'Calculo precio energia'!D283</f>
        <v>133.63693742862029</v>
      </c>
      <c r="V18" s="718">
        <f>'Calculo precio energia'!D295</f>
        <v>135.33819732564228</v>
      </c>
      <c r="W18" s="718">
        <f>'Calculo precio energia'!D307</f>
        <v>137.06111504641348</v>
      </c>
      <c r="X18" s="718">
        <f>'Calculo precio energia'!D319</f>
        <v>138.80596630502697</v>
      </c>
    </row>
    <row r="19" spans="2:24" x14ac:dyDescent="0.25">
      <c r="B19" s="716" t="s">
        <v>291</v>
      </c>
      <c r="C19" s="719">
        <f>'Calculo precio energia'!K6</f>
        <v>212.19300000000001</v>
      </c>
      <c r="D19" s="719">
        <f>'Calculo precio energia'!K18</f>
        <v>216.74100000000001</v>
      </c>
      <c r="E19" s="719">
        <f>'Calculo precio energia'!K30</f>
        <v>221.309</v>
      </c>
      <c r="F19" s="719">
        <f>'Calculo precio energia'!K42</f>
        <v>227.66300000000001</v>
      </c>
      <c r="G19" s="719">
        <f>'Calculo precio energia'!K54</f>
        <v>232.166</v>
      </c>
      <c r="H19" s="719">
        <f>'Calculo precio energia'!K66</f>
        <v>234.78100000000001</v>
      </c>
      <c r="I19" s="719">
        <f>'Calculo precio energia'!K78</f>
        <v>234.72200000000001</v>
      </c>
      <c r="J19" s="719">
        <f>'Calculo precio energia'!K90</f>
        <v>237.11099999999999</v>
      </c>
      <c r="K19" s="719">
        <f>'Calculo precio energia'!K102</f>
        <v>243.60300000000001</v>
      </c>
      <c r="L19" s="719">
        <f>'Calculo precio energia'!K114</f>
        <v>248.99100000000001</v>
      </c>
      <c r="O19" s="716" t="s">
        <v>293</v>
      </c>
      <c r="P19" s="718">
        <f>'Calculo precio energia'!D224</f>
        <v>125.57840746616574</v>
      </c>
      <c r="Q19" s="718">
        <f>'Calculo precio energia'!D236</f>
        <v>127.17707855714453</v>
      </c>
      <c r="R19" s="718">
        <f>'Calculo precio energia'!D248</f>
        <v>128.79610146901908</v>
      </c>
      <c r="S19" s="718">
        <f>'Calculo precio energia'!D260</f>
        <v>130.43573528986332</v>
      </c>
      <c r="T19" s="718">
        <f>'Calculo precio energia'!D272</f>
        <v>132.09624240606198</v>
      </c>
      <c r="U19" s="718">
        <f>'Calculo precio energia'!D284</f>
        <v>133.77788854429954</v>
      </c>
      <c r="V19" s="718">
        <f>'Calculo precio energia'!D296</f>
        <v>135.48094281408373</v>
      </c>
      <c r="W19" s="718">
        <f>'Calculo precio energia'!D308</f>
        <v>137.20567775081062</v>
      </c>
      <c r="X19" s="718">
        <f>'Calculo precio energia'!D320</f>
        <v>138.95236935937771</v>
      </c>
    </row>
    <row r="20" spans="2:24" x14ac:dyDescent="0.25">
      <c r="B20" s="716" t="s">
        <v>292</v>
      </c>
      <c r="C20" s="719">
        <f>'Calculo precio energia'!K7</f>
        <v>212.709</v>
      </c>
      <c r="D20" s="719">
        <f>'Calculo precio energia'!K19</f>
        <v>217.631</v>
      </c>
      <c r="E20" s="719">
        <f>'Calculo precio energia'!K31</f>
        <v>223.46700000000001</v>
      </c>
      <c r="F20" s="719">
        <f>'Calculo precio energia'!K43</f>
        <v>229.392</v>
      </c>
      <c r="G20" s="719">
        <f>'Calculo precio energia'!K55</f>
        <v>232.773</v>
      </c>
      <c r="H20" s="719">
        <f>'Calculo precio energia'!K67</f>
        <v>236.29300000000001</v>
      </c>
      <c r="I20" s="719">
        <f>'Calculo precio energia'!K79</f>
        <v>236.119</v>
      </c>
      <c r="J20" s="719">
        <f>'Calculo precio energia'!K91</f>
        <v>238.13200000000001</v>
      </c>
      <c r="K20" s="719">
        <f>'Calculo precio energia'!K103</f>
        <v>243.80099999999999</v>
      </c>
      <c r="L20" s="719">
        <f>'Calculo precio energia'!K115</f>
        <v>249.554</v>
      </c>
      <c r="O20" s="716" t="s">
        <v>294</v>
      </c>
      <c r="P20" s="718">
        <f>'Calculo precio energia'!D225</f>
        <v>125.7108589947488</v>
      </c>
      <c r="Q20" s="718">
        <f>'Calculo precio energia'!D237</f>
        <v>127.31121625482285</v>
      </c>
      <c r="R20" s="718">
        <f>'Calculo precio energia'!D249</f>
        <v>128.93194680150353</v>
      </c>
      <c r="S20" s="718">
        <f>'Calculo precio energia'!D261</f>
        <v>130.57330999613319</v>
      </c>
      <c r="T20" s="718">
        <f>'Calculo precio energia'!D273</f>
        <v>132.2355685018438</v>
      </c>
      <c r="U20" s="718">
        <f>'Calculo precio energia'!D285</f>
        <v>133.91898832559022</v>
      </c>
      <c r="V20" s="718">
        <f>'Calculo precio energia'!D297</f>
        <v>135.62383886071845</v>
      </c>
      <c r="W20" s="718">
        <f>'Calculo precio energia'!D309</f>
        <v>137.35039293007634</v>
      </c>
      <c r="X20" s="718">
        <f>'Calculo precio energia'!D321</f>
        <v>139.09892682967248</v>
      </c>
    </row>
    <row r="21" spans="2:24" x14ac:dyDescent="0.25">
      <c r="B21" s="716" t="s">
        <v>293</v>
      </c>
      <c r="C21" s="719">
        <f>'Calculo precio energia'!K8</f>
        <v>213.24</v>
      </c>
      <c r="D21" s="719">
        <f>'Calculo precio energia'!K20</f>
        <v>218.00899999999999</v>
      </c>
      <c r="E21" s="719">
        <f>'Calculo precio energia'!K32</f>
        <v>224.90600000000001</v>
      </c>
      <c r="F21" s="719">
        <f>'Calculo precio energia'!K44</f>
        <v>230.08500000000001</v>
      </c>
      <c r="G21" s="719">
        <f>'Calculo precio energia'!K56</f>
        <v>232.53100000000001</v>
      </c>
      <c r="H21" s="719">
        <f>'Calculo precio energia'!K68</f>
        <v>237.072</v>
      </c>
      <c r="I21" s="719">
        <f>'Calculo precio energia'!K80</f>
        <v>236.59899999999999</v>
      </c>
      <c r="J21" s="719">
        <f>'Calculo precio energia'!K92</f>
        <v>239.261</v>
      </c>
      <c r="K21" s="719">
        <f>'Calculo precio energia'!K104</f>
        <v>244.524</v>
      </c>
      <c r="L21" s="719">
        <f>'Calculo precio energia'!K116</f>
        <v>250.54599999999999</v>
      </c>
      <c r="O21" s="716" t="s">
        <v>295</v>
      </c>
      <c r="P21" s="718">
        <f>'Calculo precio energia'!D226</f>
        <v>125.84345022415924</v>
      </c>
      <c r="Q21" s="718">
        <f>'Calculo precio energia'!D238</f>
        <v>127.44549543178456</v>
      </c>
      <c r="R21" s="718">
        <f>'Calculo precio energia'!D250</f>
        <v>129.06793541436795</v>
      </c>
      <c r="S21" s="718">
        <f>'Calculo precio energia'!D262</f>
        <v>130.71102980680843</v>
      </c>
      <c r="T21" s="718">
        <f>'Calculo precio energia'!D274</f>
        <v>132.37504154927703</v>
      </c>
      <c r="U21" s="718">
        <f>'Calculo precio energia'!D286</f>
        <v>134.06023692929463</v>
      </c>
      <c r="V21" s="718">
        <f>'Calculo precio energia'!D298</f>
        <v>135.76688562434495</v>
      </c>
      <c r="W21" s="718">
        <f>'Calculo precio energia'!D310</f>
        <v>137.49526074503069</v>
      </c>
      <c r="X21" s="718">
        <f>'Calculo precio energia'!D322</f>
        <v>139.24563887877866</v>
      </c>
    </row>
    <row r="22" spans="2:24" x14ac:dyDescent="0.25">
      <c r="B22" s="716" t="s">
        <v>294</v>
      </c>
      <c r="C22" s="719">
        <f>'Calculo precio energia'!K9</f>
        <v>213.85599999999999</v>
      </c>
      <c r="D22" s="719">
        <f>'Calculo precio energia'!K21</f>
        <v>218.178</v>
      </c>
      <c r="E22" s="719">
        <f>'Calculo precio energia'!K33</f>
        <v>225.964</v>
      </c>
      <c r="F22" s="719">
        <f>'Calculo precio energia'!K45</f>
        <v>229.815</v>
      </c>
      <c r="G22" s="719">
        <f>'Calculo precio energia'!K57</f>
        <v>232.94499999999999</v>
      </c>
      <c r="H22" s="719">
        <f>'Calculo precio energia'!K69</f>
        <v>237.9</v>
      </c>
      <c r="I22" s="719">
        <f>'Calculo precio energia'!K81</f>
        <v>237.80500000000001</v>
      </c>
      <c r="J22" s="719">
        <f>'Calculo precio energia'!K93</f>
        <v>240.23599999999999</v>
      </c>
      <c r="K22" s="719">
        <f>'Calculo precio energia'!K105</f>
        <v>244.733</v>
      </c>
      <c r="L22" s="719">
        <f>'Calculo precio energia'!K117</f>
        <v>251.58799999999999</v>
      </c>
      <c r="O22" s="716" t="s">
        <v>296</v>
      </c>
      <c r="P22" s="718">
        <f>'Calculo precio energia'!D227</f>
        <v>125.97618130174395</v>
      </c>
      <c r="Q22" s="718">
        <f>'Calculo precio energia'!D239</f>
        <v>127.57991623725236</v>
      </c>
      <c r="R22" s="718">
        <f>'Calculo precio energia'!D251</f>
        <v>129.20406745873473</v>
      </c>
      <c r="S22" s="718">
        <f>'Calculo precio energia'!D263</f>
        <v>130.84889487493521</v>
      </c>
      <c r="T22" s="718">
        <f>'Calculo precio energia'!D275</f>
        <v>132.51466170335624</v>
      </c>
      <c r="U22" s="718">
        <f>'Calculo precio energia'!D287</f>
        <v>134.20163451238054</v>
      </c>
      <c r="V22" s="718">
        <f>'Calculo precio energia'!D299</f>
        <v>135.91008326392921</v>
      </c>
      <c r="W22" s="718">
        <f>'Calculo precio energia'!D311</f>
        <v>137.64028135666339</v>
      </c>
      <c r="X22" s="718">
        <f>'Calculo precio energia'!D323</f>
        <v>139.39250566973544</v>
      </c>
    </row>
    <row r="23" spans="2:24" x14ac:dyDescent="0.25">
      <c r="B23" s="716" t="s">
        <v>295</v>
      </c>
      <c r="C23" s="719">
        <f>'Calculo precio energia'!K10</f>
        <v>215.69300000000001</v>
      </c>
      <c r="D23" s="719">
        <f>'Calculo precio energia'!K22</f>
        <v>217.965</v>
      </c>
      <c r="E23" s="719">
        <f>'Calculo precio energia'!K34</f>
        <v>225.72200000000001</v>
      </c>
      <c r="F23" s="719">
        <f>'Calculo precio energia'!K46</f>
        <v>229.47800000000001</v>
      </c>
      <c r="G23" s="719">
        <f>'Calculo precio energia'!K58</f>
        <v>233.50399999999999</v>
      </c>
      <c r="H23" s="719">
        <f>'Calculo precio energia'!K70</f>
        <v>238.34299999999999</v>
      </c>
      <c r="I23" s="719">
        <f>'Calculo precio energia'!K82</f>
        <v>238.63800000000001</v>
      </c>
      <c r="J23" s="719">
        <f>'Calculo precio energia'!K94</f>
        <v>241.03800000000001</v>
      </c>
      <c r="K23" s="719">
        <f>'Calculo precio energia'!K106</f>
        <v>244.95500000000001</v>
      </c>
      <c r="L23" s="719">
        <f>'Calculo precio energia'!K118</f>
        <v>251.989</v>
      </c>
      <c r="O23" s="716" t="s">
        <v>297</v>
      </c>
      <c r="P23" s="718">
        <f>'Calculo precio energia'!D228</f>
        <v>126.10905237500523</v>
      </c>
      <c r="Q23" s="718">
        <f>'Calculo precio energia'!D240</f>
        <v>127.71447882060632</v>
      </c>
      <c r="R23" s="718">
        <f>'Calculo precio energia'!D252</f>
        <v>129.34034308588559</v>
      </c>
      <c r="S23" s="718">
        <f>'Calculo precio energia'!D264</f>
        <v>130.98690535372123</v>
      </c>
      <c r="T23" s="718">
        <f>'Calculo precio energia'!D276</f>
        <v>132.65442911923947</v>
      </c>
      <c r="U23" s="718">
        <f>'Calculo precio energia'!D288</f>
        <v>134.34318123198119</v>
      </c>
      <c r="V23" s="718">
        <f>'Calculo precio energia'!D300</f>
        <v>136.05343193860489</v>
      </c>
      <c r="W23" s="718">
        <f>'Calculo precio energia'!D312</f>
        <v>137.78545492613395</v>
      </c>
      <c r="X23" s="718">
        <f>'Calculo precio energia'!D324</f>
        <v>139.53952736575394</v>
      </c>
    </row>
    <row r="24" spans="2:24" x14ac:dyDescent="0.25">
      <c r="B24" s="716" t="s">
        <v>296</v>
      </c>
      <c r="C24" s="719">
        <f>'Calculo precio energia'!K11</f>
        <v>215.351</v>
      </c>
      <c r="D24" s="719">
        <f>'Calculo precio energia'!K23</f>
        <v>218.011</v>
      </c>
      <c r="E24" s="719">
        <f>'Calculo precio energia'!K35</f>
        <v>225.922</v>
      </c>
      <c r="F24" s="719">
        <f>'Calculo precio energia'!K47</f>
        <v>229.10400000000001</v>
      </c>
      <c r="G24" s="719">
        <f>'Calculo precio energia'!K59</f>
        <v>233.596</v>
      </c>
      <c r="H24" s="719">
        <f>'Calculo precio energia'!K71</f>
        <v>238.25</v>
      </c>
      <c r="I24" s="719">
        <f>'Calculo precio energia'!K83</f>
        <v>238.654</v>
      </c>
      <c r="J24" s="719">
        <f>'Calculo precio energia'!K95</f>
        <v>240.64699999999999</v>
      </c>
      <c r="K24" s="719">
        <f>'Calculo precio energia'!K107</f>
        <v>244.786</v>
      </c>
      <c r="L24" s="719">
        <f>'Calculo precio energia'!K119</f>
        <v>252.006</v>
      </c>
      <c r="O24" s="716" t="s">
        <v>298</v>
      </c>
      <c r="P24" s="718">
        <f>'Calculo precio energia'!D229</f>
        <v>126.24206359160098</v>
      </c>
      <c r="Q24" s="718">
        <f>'Calculo precio energia'!D241</f>
        <v>127.84918333138405</v>
      </c>
      <c r="R24" s="718">
        <f>'Calculo precio energia'!D253</f>
        <v>129.47676244726185</v>
      </c>
      <c r="S24" s="718">
        <f>'Calculo precio energia'!D265</f>
        <v>131.12506139653567</v>
      </c>
      <c r="T24" s="718">
        <f>'Calculo precio energia'!D277</f>
        <v>132.7943439522484</v>
      </c>
      <c r="U24" s="718">
        <f>'Calculo precio energia'!D289</f>
        <v>134.48487724539561</v>
      </c>
      <c r="V24" s="718">
        <f>'Calculo precio energia'!D301</f>
        <v>136.19693180767351</v>
      </c>
      <c r="W24" s="718">
        <f>'Calculo precio energia'!D313</f>
        <v>137.93078161477186</v>
      </c>
      <c r="X24" s="718">
        <f>'Calculo precio energia'!D325</f>
        <v>139.68670413021746</v>
      </c>
    </row>
    <row r="25" spans="2:24" x14ac:dyDescent="0.25">
      <c r="B25" s="716" t="s">
        <v>297</v>
      </c>
      <c r="C25" s="719">
        <f>'Calculo precio energia'!K12</f>
        <v>215.834</v>
      </c>
      <c r="D25" s="719">
        <f>'Calculo precio energia'!K24</f>
        <v>218.31200000000001</v>
      </c>
      <c r="E25" s="719">
        <f>'Calculo precio energia'!K36</f>
        <v>226.54499999999999</v>
      </c>
      <c r="F25" s="719">
        <f>'Calculo precio energia'!K48</f>
        <v>230.37899999999999</v>
      </c>
      <c r="G25" s="719">
        <f>'Calculo precio energia'!K60</f>
        <v>233.87700000000001</v>
      </c>
      <c r="H25" s="719">
        <f>'Calculo precio energia'!K72</f>
        <v>237.852</v>
      </c>
      <c r="I25" s="719">
        <f>'Calculo precio energia'!K84</f>
        <v>238.316</v>
      </c>
      <c r="J25" s="719">
        <f>'Calculo precio energia'!K96</f>
        <v>240.85300000000001</v>
      </c>
      <c r="K25" s="719">
        <f>'Calculo precio energia'!K108</f>
        <v>245.51900000000001</v>
      </c>
      <c r="L25" s="719"/>
      <c r="O25" s="716" t="s">
        <v>299</v>
      </c>
      <c r="P25" s="718">
        <f>'Calculo precio energia'!D230</f>
        <v>126.3752150993448</v>
      </c>
      <c r="Q25" s="718">
        <f>'Calculo precio energia'!D242</f>
        <v>127.98402991928094</v>
      </c>
      <c r="R25" s="718">
        <f>'Calculo precio energia'!D254</f>
        <v>129.61332569446458</v>
      </c>
      <c r="S25" s="718">
        <f>'Calculo precio energia'!D266</f>
        <v>131.26336315690955</v>
      </c>
      <c r="T25" s="718">
        <f>'Calculo precio energia'!D278</f>
        <v>132.93440635786857</v>
      </c>
      <c r="U25" s="718">
        <f>'Calculo precio energia'!D290</f>
        <v>134.6267227100887</v>
      </c>
      <c r="V25" s="718">
        <f>'Calculo precio energia'!D302</f>
        <v>136.34058303060456</v>
      </c>
      <c r="W25" s="718">
        <f>'Calculo precio energia'!D314</f>
        <v>138.07626158407675</v>
      </c>
      <c r="X25" s="718">
        <f>'Calculo precio energia'!D326</f>
        <v>139.83403612668161</v>
      </c>
    </row>
    <row r="26" spans="2:24" x14ac:dyDescent="0.25">
      <c r="B26" s="716" t="s">
        <v>298</v>
      </c>
      <c r="C26" s="719">
        <f>'Calculo precio energia'!K13</f>
        <v>215.96899999999999</v>
      </c>
      <c r="D26" s="719">
        <f>'Calculo precio energia'!K25</f>
        <v>218.43899999999999</v>
      </c>
      <c r="E26" s="719">
        <f>'Calculo precio energia'!K37</f>
        <v>226.88900000000001</v>
      </c>
      <c r="F26" s="719">
        <f>'Calculo precio energia'!K49</f>
        <v>231.40700000000001</v>
      </c>
      <c r="G26" s="719">
        <f>'Calculo precio energia'!K61</f>
        <v>234.149</v>
      </c>
      <c r="H26" s="719">
        <f>'Calculo precio energia'!K73</f>
        <v>238.03100000000001</v>
      </c>
      <c r="I26" s="719">
        <f>'Calculo precio energia'!K85</f>
        <v>237.94499999999999</v>
      </c>
      <c r="J26" s="719">
        <f>'Calculo precio energia'!K97</f>
        <v>241.428</v>
      </c>
      <c r="K26" s="719">
        <f>'Calculo precio energia'!K109</f>
        <v>246.81899999999999</v>
      </c>
      <c r="L26" s="719"/>
      <c r="O26" s="716" t="s">
        <v>300</v>
      </c>
      <c r="P26" s="718">
        <f>'Calculo precio energia'!D231</f>
        <v>126.50850704620622</v>
      </c>
      <c r="Q26" s="718">
        <f>'Calculo precio energia'!D243</f>
        <v>128.11901873415022</v>
      </c>
      <c r="R26" s="718">
        <f>'Calculo precio energia'!D255</f>
        <v>129.75003297925468</v>
      </c>
      <c r="S26" s="718">
        <f>'Calculo precio energia'!D267</f>
        <v>131.40181078853578</v>
      </c>
      <c r="T26" s="718">
        <f>'Calculo precio energia'!D279</f>
        <v>133.07461649174948</v>
      </c>
      <c r="U26" s="718">
        <f>'Calculo precio energia'!D291</f>
        <v>134.7687177836915</v>
      </c>
      <c r="V26" s="718">
        <f>'Calculo precio energia'!D303</f>
        <v>136.48438576703577</v>
      </c>
      <c r="W26" s="718">
        <f>'Calculo precio energia'!D315</f>
        <v>138.22189499571857</v>
      </c>
      <c r="X26" s="718">
        <f>'Calculo precio energia'!D327</f>
        <v>139.98152351887447</v>
      </c>
    </row>
    <row r="27" spans="2:24" x14ac:dyDescent="0.25">
      <c r="B27" s="716" t="s">
        <v>299</v>
      </c>
      <c r="C27" s="719">
        <f>'Calculo precio energia'!K14</f>
        <v>216.17699999999999</v>
      </c>
      <c r="D27" s="719">
        <f>'Calculo precio energia'!K26</f>
        <v>218.71100000000001</v>
      </c>
      <c r="E27" s="719">
        <f>'Calculo precio energia'!K38</f>
        <v>226.42099999999999</v>
      </c>
      <c r="F27" s="719">
        <f>'Calculo precio energia'!K50</f>
        <v>231.31700000000001</v>
      </c>
      <c r="G27" s="719">
        <f>'Calculo precio energia'!K62</f>
        <v>233.54599999999999</v>
      </c>
      <c r="H27" s="719">
        <f>'Calculo precio energia'!K74</f>
        <v>237.43299999999999</v>
      </c>
      <c r="I27" s="719">
        <f>'Calculo precio energia'!K86</f>
        <v>237.83799999999999</v>
      </c>
      <c r="J27" s="719">
        <f>'Calculo precio energia'!K98</f>
        <v>241.72900000000001</v>
      </c>
      <c r="K27" s="719">
        <f>'Calculo precio energia'!K110</f>
        <v>246.66300000000001</v>
      </c>
      <c r="L27" s="719"/>
      <c r="O27" s="716" t="s">
        <v>301</v>
      </c>
      <c r="P27" s="718">
        <f>'Calculo precio energia'!D232</f>
        <v>126.64193958031082</v>
      </c>
      <c r="Q27" s="718">
        <f>'Calculo precio energia'!D244</f>
        <v>128.25414992600318</v>
      </c>
      <c r="R27" s="718">
        <f>'Calculo precio energia'!D256</f>
        <v>129.88688445355319</v>
      </c>
      <c r="S27" s="718">
        <f>'Calculo precio energia'!D268</f>
        <v>131.54040444526942</v>
      </c>
      <c r="T27" s="718">
        <f>'Calculo precio energia'!D280</f>
        <v>133.2149745097048</v>
      </c>
      <c r="U27" s="718">
        <f>'Calculo precio energia'!D292</f>
        <v>134.91086262400123</v>
      </c>
      <c r="V27" s="718">
        <f>'Calculo precio energia'!D304</f>
        <v>136.62834017677324</v>
      </c>
      <c r="W27" s="718">
        <f>'Calculo precio energia'!D316</f>
        <v>138.36768201153785</v>
      </c>
      <c r="X27" s="718">
        <f>'Calculo precio energia'!D328</f>
        <v>140.12916647069687</v>
      </c>
    </row>
    <row r="28" spans="2:24" x14ac:dyDescent="0.25">
      <c r="B28" s="716" t="s">
        <v>300</v>
      </c>
      <c r="C28" s="719">
        <f>'Calculo precio energia'!K15</f>
        <v>216.33</v>
      </c>
      <c r="D28" s="719">
        <f>'Calculo precio energia'!K27</f>
        <v>218.803</v>
      </c>
      <c r="E28" s="719">
        <f>'Calculo precio energia'!K39</f>
        <v>226.23</v>
      </c>
      <c r="F28" s="719">
        <f>'Calculo precio energia'!K51</f>
        <v>230.221</v>
      </c>
      <c r="G28" s="719">
        <f>'Calculo precio energia'!K63</f>
        <v>233.06899999999999</v>
      </c>
      <c r="H28" s="719">
        <f>'Calculo precio energia'!K75</f>
        <v>236.15100000000001</v>
      </c>
      <c r="I28" s="719">
        <f>'Calculo precio energia'!K87</f>
        <v>237.33600000000001</v>
      </c>
      <c r="J28" s="719">
        <f>'Calculo precio energia'!K99</f>
        <v>241.35300000000001</v>
      </c>
      <c r="K28" s="719">
        <f>'Calculo precio energia'!K111</f>
        <v>246.66900000000001</v>
      </c>
      <c r="L28" s="719"/>
      <c r="O28" s="889" t="s">
        <v>305</v>
      </c>
      <c r="P28" s="889"/>
      <c r="Q28" s="889"/>
      <c r="R28" s="889"/>
      <c r="S28" s="889"/>
      <c r="T28" s="889"/>
      <c r="U28" s="889"/>
      <c r="V28" s="889"/>
      <c r="W28" s="889"/>
      <c r="X28" s="889"/>
    </row>
    <row r="29" spans="2:24" x14ac:dyDescent="0.25">
      <c r="B29" s="716" t="s">
        <v>301</v>
      </c>
      <c r="C29" s="719">
        <f>'Calculo precio energia'!K16</f>
        <v>215.94900000000001</v>
      </c>
      <c r="D29" s="719">
        <f>'Calculo precio energia'!K28</f>
        <v>219.179</v>
      </c>
      <c r="E29" s="719">
        <f>'Calculo precio energia'!K40</f>
        <v>225.672</v>
      </c>
      <c r="F29" s="719">
        <f>'Calculo precio energia'!K52</f>
        <v>229.601</v>
      </c>
      <c r="G29" s="719">
        <f>'Calculo precio energia'!K64</f>
        <v>233.04900000000001</v>
      </c>
      <c r="H29" s="719">
        <f>'Calculo precio energia'!K76</f>
        <v>234.81200000000001</v>
      </c>
      <c r="I29" s="719">
        <f>'Calculo precio energia'!K88</f>
        <v>236.52500000000001</v>
      </c>
      <c r="J29" s="719">
        <f>'Calculo precio energia'!K100</f>
        <v>241.43199999999999</v>
      </c>
      <c r="K29" s="719">
        <f>'Calculo precio energia'!K112</f>
        <v>246.524</v>
      </c>
      <c r="L29" s="719"/>
      <c r="O29" s="713"/>
      <c r="P29" s="715">
        <v>2018</v>
      </c>
      <c r="Q29" s="715">
        <v>2019</v>
      </c>
      <c r="R29" s="715">
        <v>2020</v>
      </c>
      <c r="S29" s="715">
        <v>2021</v>
      </c>
      <c r="T29" s="715">
        <v>2022</v>
      </c>
      <c r="U29" s="715">
        <v>2023</v>
      </c>
      <c r="V29" s="715">
        <v>2024</v>
      </c>
      <c r="W29" s="715">
        <v>2025</v>
      </c>
      <c r="X29" s="715">
        <v>2026</v>
      </c>
    </row>
    <row r="30" spans="2:24" x14ac:dyDescent="0.25">
      <c r="B30" s="714"/>
      <c r="C30" s="714"/>
      <c r="D30" s="714"/>
      <c r="E30" s="714"/>
      <c r="F30" s="714"/>
      <c r="G30" s="889" t="s">
        <v>303</v>
      </c>
      <c r="H30" s="889"/>
      <c r="I30" s="889"/>
      <c r="J30" s="889"/>
      <c r="K30" s="889"/>
      <c r="L30" s="717">
        <f>'Calculo precio energia'!L120</f>
        <v>1.557481253597177E-3</v>
      </c>
      <c r="O30" s="716" t="s">
        <v>290</v>
      </c>
      <c r="P30" s="718"/>
      <c r="Q30" s="718">
        <f>'Calculo precio energia'!K125</f>
        <v>254.37015633409106</v>
      </c>
      <c r="R30" s="718">
        <f>'Calculo precio energia'!K137</f>
        <v>259.16521400074163</v>
      </c>
      <c r="S30" s="718">
        <f>'Calculo precio energia'!K149</f>
        <v>264.0506619016785</v>
      </c>
      <c r="T30" s="718">
        <f>'Calculo precio energia'!K161</f>
        <v>269.0282039568591</v>
      </c>
      <c r="U30" s="718">
        <f>'Calculo precio energia'!K173</f>
        <v>274.09957620633901</v>
      </c>
      <c r="V30" s="718">
        <f>'Calculo precio energia'!K185</f>
        <v>279.26654741575885</v>
      </c>
      <c r="W30" s="718">
        <f>'Calculo precio energia'!K197</f>
        <v>284.53091969324475</v>
      </c>
      <c r="X30" s="718">
        <f>'Calculo precio energia'!K209</f>
        <v>289.89452911793796</v>
      </c>
    </row>
    <row r="31" spans="2:24" x14ac:dyDescent="0.25">
      <c r="O31" s="716" t="s">
        <v>291</v>
      </c>
      <c r="P31" s="718"/>
      <c r="Q31" s="718">
        <f>'Calculo precio energia'!K126</f>
        <v>254.76633308405601</v>
      </c>
      <c r="R31" s="718">
        <f>'Calculo precio energia'!K138</f>
        <v>259.5688589631323</v>
      </c>
      <c r="S31" s="718">
        <f>'Calculo precio energia'!K150</f>
        <v>264.46191585759033</v>
      </c>
      <c r="T31" s="718">
        <f>'Calculo precio energia'!K162</f>
        <v>269.44721034121085</v>
      </c>
      <c r="U31" s="718">
        <f>'Calculo precio energia'!K174</f>
        <v>274.52648115789935</v>
      </c>
      <c r="V31" s="718">
        <f>'Calculo precio energia'!K186</f>
        <v>279.70149982811574</v>
      </c>
      <c r="W31" s="718">
        <f>'Calculo precio energia'!K198</f>
        <v>284.97407126673573</v>
      </c>
      <c r="X31" s="718">
        <f>'Calculo precio energia'!K210</f>
        <v>290.34603441255956</v>
      </c>
    </row>
    <row r="32" spans="2:24" x14ac:dyDescent="0.25">
      <c r="O32" s="716" t="s">
        <v>292</v>
      </c>
      <c r="P32" s="718"/>
      <c r="Q32" s="718">
        <f>'Calculo precio energia'!K127</f>
        <v>255.16312687188213</v>
      </c>
      <c r="R32" s="718">
        <f>'Calculo precio energia'!K139</f>
        <v>259.97313259498497</v>
      </c>
      <c r="S32" s="718">
        <f>'Calculo precio energia'!K151</f>
        <v>264.87381033382894</v>
      </c>
      <c r="T32" s="718">
        <f>'Calculo precio energia'!K163</f>
        <v>269.86686932015135</v>
      </c>
      <c r="U32" s="718">
        <f>'Calculo precio energia'!K175</f>
        <v>274.95405100591881</v>
      </c>
      <c r="V32" s="718">
        <f>'Calculo precio energia'!K187</f>
        <v>280.13712967070109</v>
      </c>
      <c r="W32" s="718">
        <f>'Calculo precio energia'!K199</f>
        <v>285.41791304049497</v>
      </c>
      <c r="X32" s="718">
        <f>'Calculo precio energia'!K211</f>
        <v>290.79824291821342</v>
      </c>
    </row>
    <row r="33" spans="15:24" x14ac:dyDescent="0.25">
      <c r="O33" s="716" t="s">
        <v>293</v>
      </c>
      <c r="P33" s="718"/>
      <c r="Q33" s="718">
        <f>'Calculo precio energia'!K128</f>
        <v>255.56053865859434</v>
      </c>
      <c r="R33" s="718">
        <f>'Calculo precio energia'!K140</f>
        <v>260.37803587544062</v>
      </c>
      <c r="S33" s="718">
        <f>'Calculo precio energia'!K152</f>
        <v>265.28634632799276</v>
      </c>
      <c r="T33" s="718">
        <f>'Calculo precio energia'!K164</f>
        <v>270.28718191008448</v>
      </c>
      <c r="U33" s="718">
        <f>'Calculo precio energia'!K176</f>
        <v>275.38228678596113</v>
      </c>
      <c r="V33" s="718">
        <f>'Calculo precio energia'!K188</f>
        <v>280.57343799859973</v>
      </c>
      <c r="W33" s="718">
        <f>'Calculo precio energia'!K200</f>
        <v>285.86244608949636</v>
      </c>
      <c r="X33" s="718">
        <f>'Calculo precio energia'!K212</f>
        <v>291.25115573013755</v>
      </c>
    </row>
    <row r="34" spans="15:24" x14ac:dyDescent="0.25">
      <c r="O34" s="716" t="s">
        <v>294</v>
      </c>
      <c r="P34" s="718"/>
      <c r="Q34" s="718">
        <f>'Calculo precio energia'!K129</f>
        <v>255.9585694067143</v>
      </c>
      <c r="R34" s="718">
        <f>'Calculo precio energia'!K141</f>
        <v>260.78356978516507</v>
      </c>
      <c r="S34" s="718">
        <f>'Calculo precio energia'!K153</f>
        <v>265.6995248392339</v>
      </c>
      <c r="T34" s="718">
        <f>'Calculo precio energia'!K165</f>
        <v>270.70814912899709</v>
      </c>
      <c r="U34" s="718">
        <f>'Calculo precio energia'!K177</f>
        <v>275.81118953520297</v>
      </c>
      <c r="V34" s="718">
        <f>'Calculo precio energia'!K189</f>
        <v>281.01042586853987</v>
      </c>
      <c r="W34" s="718">
        <f>'Calculo precio energia'!K201</f>
        <v>286.3076714903882</v>
      </c>
      <c r="X34" s="718">
        <f>'Calculo precio energia'!K213</f>
        <v>291.70477394527575</v>
      </c>
    </row>
    <row r="35" spans="15:24" x14ac:dyDescent="0.25">
      <c r="O35" s="716" t="s">
        <v>295</v>
      </c>
      <c r="P35" s="718"/>
      <c r="Q35" s="718">
        <f>'Calculo precio energia'!K130</f>
        <v>256.35722008026283</v>
      </c>
      <c r="R35" s="718">
        <f>'Calculo precio energia'!K142</f>
        <v>261.18973530635162</v>
      </c>
      <c r="S35" s="718">
        <f>'Calculo precio energia'!K154</f>
        <v>266.11334686826069</v>
      </c>
      <c r="T35" s="718">
        <f>'Calculo precio energia'!K166</f>
        <v>271.1297719964615</v>
      </c>
      <c r="U35" s="718">
        <f>'Calculo precio energia'!K178</f>
        <v>276.24076029243639</v>
      </c>
      <c r="V35" s="718">
        <f>'Calculo precio energia'!K190</f>
        <v>281.44809433889549</v>
      </c>
      <c r="W35" s="718">
        <f>'Calculo precio energia'!K202</f>
        <v>286.75359032149555</v>
      </c>
      <c r="X35" s="718">
        <f>'Calculo precio energia'!K214</f>
        <v>292.15909866228031</v>
      </c>
    </row>
    <row r="36" spans="15:24" x14ac:dyDescent="0.25">
      <c r="O36" s="716" t="s">
        <v>296</v>
      </c>
      <c r="P36" s="718"/>
      <c r="Q36" s="718">
        <f>'Calculo precio energia'!K131</f>
        <v>256.75649164476215</v>
      </c>
      <c r="R36" s="718">
        <f>'Calculo precio energia'!K143</f>
        <v>261.59653342272327</v>
      </c>
      <c r="S36" s="718">
        <f>'Calculo precio energia'!K155</f>
        <v>266.52781341734004</v>
      </c>
      <c r="T36" s="718">
        <f>'Calculo precio energia'!K167</f>
        <v>271.55205153363806</v>
      </c>
      <c r="U36" s="718">
        <f>'Calculo precio energia'!K179</f>
        <v>276.67100009807132</v>
      </c>
      <c r="V36" s="718">
        <f>'Calculo precio energia'!K191</f>
        <v>281.88644446968897</v>
      </c>
      <c r="W36" s="718">
        <f>'Calculo precio energia'!K203</f>
        <v>287.20020366282296</v>
      </c>
      <c r="X36" s="718">
        <f>'Calculo precio energia'!K215</f>
        <v>292.61413098151468</v>
      </c>
    </row>
    <row r="37" spans="15:24" x14ac:dyDescent="0.25">
      <c r="O37" s="716" t="s">
        <v>297</v>
      </c>
      <c r="P37" s="718">
        <f>'Calculo precio energia'!K120</f>
        <v>252.39849462079403</v>
      </c>
      <c r="Q37" s="718">
        <f>'Calculo precio energia'!K132</f>
        <v>257.15638506723826</v>
      </c>
      <c r="R37" s="718">
        <f>'Calculo precio energia'!K144</f>
        <v>262.00396511953517</v>
      </c>
      <c r="S37" s="718">
        <f>'Calculo precio energia'!K156</f>
        <v>266.94292549029979</v>
      </c>
      <c r="T37" s="718">
        <f>'Calculo precio energia'!K168</f>
        <v>271.97498876327757</v>
      </c>
      <c r="U37" s="718">
        <f>'Calculo precio energia'!K180</f>
        <v>277.10190999413805</v>
      </c>
      <c r="V37" s="718">
        <f>'Calculo precio energia'!K192</f>
        <v>282.32547732259366</v>
      </c>
      <c r="W37" s="718">
        <f>'Calculo precio energia'!K204</f>
        <v>287.64751259605708</v>
      </c>
      <c r="X37" s="718">
        <f>'Calculo precio energia'!K216</f>
        <v>293.06987200505603</v>
      </c>
    </row>
    <row r="38" spans="15:24" x14ac:dyDescent="0.25">
      <c r="O38" s="716" t="s">
        <v>298</v>
      </c>
      <c r="P38" s="718">
        <f>'Calculo precio energia'!K121</f>
        <v>252.79160054460206</v>
      </c>
      <c r="Q38" s="718">
        <f>'Calculo precio energia'!K133</f>
        <v>257.55690131622333</v>
      </c>
      <c r="R38" s="718">
        <f>'Calculo precio energia'!K145</f>
        <v>262.41203138357696</v>
      </c>
      <c r="S38" s="718">
        <f>'Calculo precio energia'!K157</f>
        <v>267.35868409253135</v>
      </c>
      <c r="T38" s="718">
        <f>'Calculo precio energia'!K169</f>
        <v>272.39858470972371</v>
      </c>
      <c r="U38" s="718">
        <f>'Calculo precio energia'!K181</f>
        <v>277.5334910242899</v>
      </c>
      <c r="V38" s="718">
        <f>'Calculo precio energia'!K193</f>
        <v>282.76519396093647</v>
      </c>
      <c r="W38" s="718">
        <f>'Calculo precio energia'!K205</f>
        <v>288.09551820456932</v>
      </c>
      <c r="X38" s="718">
        <f>'Calculo precio energia'!K217</f>
        <v>293.52632283669806</v>
      </c>
    </row>
    <row r="39" spans="15:24" x14ac:dyDescent="0.25">
      <c r="O39" s="716" t="s">
        <v>299</v>
      </c>
      <c r="P39" s="718">
        <f>'Calculo precio energia'!K122</f>
        <v>253.18531872351713</v>
      </c>
      <c r="Q39" s="718">
        <f>'Calculo precio energia'!K134</f>
        <v>257.95804136175792</v>
      </c>
      <c r="R39" s="718">
        <f>'Calculo precio energia'!K146</f>
        <v>262.82073320317522</v>
      </c>
      <c r="S39" s="718">
        <f>'Calculo precio energia'!K158</f>
        <v>267.77509023099191</v>
      </c>
      <c r="T39" s="718">
        <f>'Calculo precio energia'!K170</f>
        <v>272.8228403989155</v>
      </c>
      <c r="U39" s="718">
        <f>'Calculo precio energia'!K182</f>
        <v>277.96574423380565</v>
      </c>
      <c r="V39" s="718">
        <f>'Calculo precio energia'!K194</f>
        <v>283.20559544970041</v>
      </c>
      <c r="W39" s="718">
        <f>'Calculo precio energia'!K206</f>
        <v>288.54422157341833</v>
      </c>
      <c r="X39" s="718">
        <f>'Calculo precio energia'!K218</f>
        <v>293.98348458195352</v>
      </c>
    </row>
    <row r="40" spans="15:24" x14ac:dyDescent="0.25">
      <c r="O40" s="716" t="s">
        <v>300</v>
      </c>
      <c r="P40" s="718">
        <f>'Calculo precio energia'!K123</f>
        <v>253.57965011111506</v>
      </c>
      <c r="Q40" s="718">
        <f>'Calculo precio energia'!K135</f>
        <v>258.35980617539354</v>
      </c>
      <c r="R40" s="718">
        <f>'Calculo precio energia'!K147</f>
        <v>263.23007156819585</v>
      </c>
      <c r="S40" s="718">
        <f>'Calculo precio energia'!K159</f>
        <v>268.19214491420701</v>
      </c>
      <c r="T40" s="718">
        <f>'Calculo precio energia'!K171</f>
        <v>273.24775685838995</v>
      </c>
      <c r="U40" s="718">
        <f>'Calculo precio energia'!K183</f>
        <v>278.39867066959198</v>
      </c>
      <c r="V40" s="718">
        <f>'Calculo precio energia'!K195</f>
        <v>283.64668285552716</v>
      </c>
      <c r="W40" s="718">
        <f>'Calculo precio energia'!K207</f>
        <v>288.99362378935274</v>
      </c>
      <c r="X40" s="718">
        <f>'Calculo precio energia'!K219</f>
        <v>294.44135834805712</v>
      </c>
    </row>
    <row r="41" spans="15:24" x14ac:dyDescent="0.25">
      <c r="O41" s="716" t="s">
        <v>301</v>
      </c>
      <c r="P41" s="718">
        <f>'Calculo precio energia'!K124</f>
        <v>253.97459566245686</v>
      </c>
      <c r="Q41" s="718">
        <f>'Calculo precio energia'!K136</f>
        <v>258.76219673019472</v>
      </c>
      <c r="R41" s="718">
        <f>'Calculo precio energia'!K148</f>
        <v>263.6400474700464</v>
      </c>
      <c r="S41" s="718">
        <f>'Calculo precio energia'!K160</f>
        <v>268.60984915227289</v>
      </c>
      <c r="T41" s="718">
        <f>'Calculo precio energia'!K172</f>
        <v>273.67333511728441</v>
      </c>
      <c r="U41" s="718">
        <f>'Calculo precio energia'!K184</f>
        <v>278.83227138018628</v>
      </c>
      <c r="V41" s="718">
        <f>'Calculo precio energia'!K196</f>
        <v>284.08845724671966</v>
      </c>
      <c r="W41" s="718">
        <f>'Calculo precio energia'!K208</f>
        <v>289.44372594081381</v>
      </c>
      <c r="X41" s="718">
        <f>'Calculo precio energia'!K220</f>
        <v>294.89994524396792</v>
      </c>
    </row>
    <row r="42" spans="15:24" x14ac:dyDescent="0.25">
      <c r="O42" s="214"/>
      <c r="P42" s="715">
        <v>2027</v>
      </c>
      <c r="Q42" s="715">
        <v>2028</v>
      </c>
      <c r="R42" s="715">
        <v>2029</v>
      </c>
      <c r="S42" s="715">
        <v>2030</v>
      </c>
      <c r="T42" s="715">
        <v>2031</v>
      </c>
      <c r="U42" s="715">
        <v>2032</v>
      </c>
      <c r="V42" s="715">
        <v>2033</v>
      </c>
      <c r="W42" s="715">
        <v>2034</v>
      </c>
      <c r="X42" s="715">
        <v>2035</v>
      </c>
    </row>
    <row r="43" spans="15:24" x14ac:dyDescent="0.25">
      <c r="O43" s="716" t="s">
        <v>290</v>
      </c>
      <c r="P43" s="718">
        <f>'Calculo precio energia'!K221</f>
        <v>295.35924638037227</v>
      </c>
      <c r="Q43" s="718">
        <f>'Calculo precio energia'!K233</f>
        <v>300.92697743492346</v>
      </c>
      <c r="R43" s="718">
        <f>'Calculo precio energia'!K245</f>
        <v>306.5996641645574</v>
      </c>
      <c r="S43" s="718">
        <f>'Calculo precio energia'!K257</f>
        <v>312.37928505810987</v>
      </c>
      <c r="T43" s="718">
        <f>'Calculo precio energia'!K269</f>
        <v>318.26785590033319</v>
      </c>
      <c r="U43" s="718">
        <f>'Calculo precio energia'!K281</f>
        <v>324.26743047495006</v>
      </c>
      <c r="V43" s="718">
        <f>'Calculo precio energia'!K293</f>
        <v>330.38010128096158</v>
      </c>
      <c r="W43" s="718">
        <f>'Calculo precio energia'!K305</f>
        <v>336.60800026245755</v>
      </c>
      <c r="X43" s="718">
        <f>'Calculo precio energia'!K317</f>
        <v>342.95329955218432</v>
      </c>
    </row>
    <row r="44" spans="15:24" x14ac:dyDescent="0.25">
      <c r="O44" s="716" t="s">
        <v>291</v>
      </c>
      <c r="P44" s="718">
        <f>'Calculo precio energia'!K222</f>
        <v>295.81926286968633</v>
      </c>
      <c r="Q44" s="718">
        <f>'Calculo precio energia'!K234</f>
        <v>301.39566556098004</v>
      </c>
      <c r="R44" s="718">
        <f>'Calculo precio energia'!K246</f>
        <v>307.07718739385291</v>
      </c>
      <c r="S44" s="718">
        <f>'Calculo precio energia'!K258</f>
        <v>312.86580993859997</v>
      </c>
      <c r="T44" s="718">
        <f>'Calculo precio energia'!K270</f>
        <v>318.76355211952057</v>
      </c>
      <c r="U44" s="718">
        <f>'Calculo precio energia'!K282</f>
        <v>324.77247091906696</v>
      </c>
      <c r="V44" s="718">
        <f>'Calculo precio energia'!K294</f>
        <v>330.89466209526825</v>
      </c>
      <c r="W44" s="718">
        <f>'Calculo precio energia'!K306</f>
        <v>337.13226091267717</v>
      </c>
      <c r="X44" s="718">
        <f>'Calculo precio energia'!K318</f>
        <v>343.48744288709617</v>
      </c>
    </row>
    <row r="45" spans="15:24" x14ac:dyDescent="0.25">
      <c r="O45" s="716" t="s">
        <v>292</v>
      </c>
      <c r="P45" s="718">
        <f>'Calculo precio energia'!K223</f>
        <v>296.27999582605884</v>
      </c>
      <c r="Q45" s="718">
        <f>'Calculo precio energia'!K235</f>
        <v>301.86508366000675</v>
      </c>
      <c r="R45" s="718">
        <f>'Calculo precio energia'!K247</f>
        <v>307.55545435662617</v>
      </c>
      <c r="S45" s="718">
        <f>'Calculo precio energia'!K259</f>
        <v>313.35309257247087</v>
      </c>
      <c r="T45" s="718">
        <f>'Calculo precio energia'!K271</f>
        <v>319.26002037627677</v>
      </c>
      <c r="U45" s="718">
        <f>'Calculo precio energia'!K283</f>
        <v>325.27829795420786</v>
      </c>
      <c r="V45" s="718">
        <f>'Calculo precio energia'!K295</f>
        <v>331.41002432839701</v>
      </c>
      <c r="W45" s="718">
        <f>'Calculo precio energia'!K307</f>
        <v>337.6573380890315</v>
      </c>
      <c r="X45" s="718">
        <f>'Calculo precio energia'!K319</f>
        <v>344.02241814023887</v>
      </c>
    </row>
    <row r="46" spans="15:24" x14ac:dyDescent="0.25">
      <c r="O46" s="716" t="s">
        <v>293</v>
      </c>
      <c r="P46" s="718">
        <f>'Calculo precio energia'!K224</f>
        <v>296.7414463653738</v>
      </c>
      <c r="Q46" s="718">
        <f>'Calculo precio energia'!K236</f>
        <v>302.33523286892279</v>
      </c>
      <c r="R46" s="718">
        <f>'Calculo precio energia'!K248</f>
        <v>308.03446621122822</v>
      </c>
      <c r="S46" s="718">
        <f>'Calculo precio energia'!K260</f>
        <v>313.84113413990923</v>
      </c>
      <c r="T46" s="718">
        <f>'Calculo precio energia'!K272</f>
        <v>319.75726187303587</v>
      </c>
      <c r="U46" s="718">
        <f>'Calculo precio energia'!K284</f>
        <v>325.78491280547354</v>
      </c>
      <c r="V46" s="718">
        <f>'Calculo precio energia'!K296</f>
        <v>331.92618922854268</v>
      </c>
      <c r="W46" s="718">
        <f>'Calculo precio energia'!K308</f>
        <v>338.1832330632447</v>
      </c>
      <c r="X46" s="718">
        <f>'Calculo precio energia'!K320</f>
        <v>344.55822660730945</v>
      </c>
    </row>
    <row r="47" spans="15:24" x14ac:dyDescent="0.25">
      <c r="O47" s="716" t="s">
        <v>294</v>
      </c>
      <c r="P47" s="718">
        <f>'Calculo precio energia'!K225</f>
        <v>297.20361560525322</v>
      </c>
      <c r="Q47" s="718">
        <f>'Calculo precio energia'!K237</f>
        <v>302.80611432641808</v>
      </c>
      <c r="R47" s="718">
        <f>'Calculo precio energia'!K249</f>
        <v>308.51422411781402</v>
      </c>
      <c r="S47" s="718">
        <f>'Calculo precio energia'!K261</f>
        <v>314.32993582293983</v>
      </c>
      <c r="T47" s="718">
        <f>'Calculo precio energia'!K273</f>
        <v>320.25527781410472</v>
      </c>
      <c r="U47" s="718">
        <f>'Calculo precio energia'!K285</f>
        <v>326.29231669987286</v>
      </c>
      <c r="V47" s="718">
        <f>'Calculo precio energia'!K297</f>
        <v>332.44315804584409</v>
      </c>
      <c r="W47" s="718">
        <f>'Calculo precio energia'!K309</f>
        <v>338.70994710902158</v>
      </c>
      <c r="X47" s="718">
        <f>'Calculo precio energia'!K321</f>
        <v>345.09486958602304</v>
      </c>
    </row>
    <row r="48" spans="15:24" x14ac:dyDescent="0.25">
      <c r="O48" s="716" t="s">
        <v>295</v>
      </c>
      <c r="P48" s="718">
        <f>'Calculo precio energia'!K226</f>
        <v>297.66650466505973</v>
      </c>
      <c r="Q48" s="718">
        <f>'Calculo precio energia'!K238</f>
        <v>303.27772917295607</v>
      </c>
      <c r="R48" s="718">
        <f>'Calculo precio energia'!K250</f>
        <v>308.9947292383456</v>
      </c>
      <c r="S48" s="718">
        <f>'Calculo precio energia'!K262</f>
        <v>314.81949880542845</v>
      </c>
      <c r="T48" s="718">
        <f>'Calculo precio energia'!K274</f>
        <v>320.75406940566575</v>
      </c>
      <c r="U48" s="718">
        <f>'Calculo precio energia'!K286</f>
        <v>326.80051086632574</v>
      </c>
      <c r="V48" s="718">
        <f>'Calculo precio energia'!K298</f>
        <v>332.96093203238712</v>
      </c>
      <c r="W48" s="718">
        <f>'Calculo precio energia'!K310</f>
        <v>339.2374815020508</v>
      </c>
      <c r="X48" s="718">
        <f>'Calculo precio energia'!K322</f>
        <v>345.63234837611583</v>
      </c>
    </row>
    <row r="49" spans="15:24" x14ac:dyDescent="0.25">
      <c r="O49" s="716" t="s">
        <v>296</v>
      </c>
      <c r="P49" s="718">
        <f>'Calculo precio energia'!K227</f>
        <v>298.13011466589938</v>
      </c>
      <c r="Q49" s="718">
        <f>'Calculo precio energia'!K239</f>
        <v>303.75007855077649</v>
      </c>
      <c r="R49" s="718">
        <f>'Calculo precio energia'!K251</f>
        <v>309.47598273659469</v>
      </c>
      <c r="S49" s="718">
        <f>'Calculo precio energia'!K263</f>
        <v>315.30982427308476</v>
      </c>
      <c r="T49" s="718">
        <f>'Calculo precio energia'!K275</f>
        <v>321.25363785578008</v>
      </c>
      <c r="U49" s="718">
        <f>'Calculo precio energia'!K287</f>
        <v>327.30949653566603</v>
      </c>
      <c r="V49" s="718">
        <f>'Calculo precio energia'!K299</f>
        <v>333.47951244220781</v>
      </c>
      <c r="W49" s="718">
        <f>'Calculo precio energia'!K311</f>
        <v>339.76583752000778</v>
      </c>
      <c r="X49" s="718">
        <f>'Calculo precio energia'!K323</f>
        <v>346.17066427934839</v>
      </c>
    </row>
    <row r="50" spans="15:24" x14ac:dyDescent="0.25">
      <c r="O50" s="716" t="s">
        <v>297</v>
      </c>
      <c r="P50" s="718">
        <f>'Calculo precio energia'!K228</f>
        <v>298.59444673062433</v>
      </c>
      <c r="Q50" s="718">
        <f>'Calculo precio energia'!K240</f>
        <v>304.223163603898</v>
      </c>
      <c r="R50" s="718">
        <f>'Calculo precio energia'!K252</f>
        <v>309.95798577814548</v>
      </c>
      <c r="S50" s="718">
        <f>'Calculo precio energia'!K264</f>
        <v>315.80091341346514</v>
      </c>
      <c r="T50" s="718">
        <f>'Calculo precio energia'!K276</f>
        <v>321.75398437439037</v>
      </c>
      <c r="U50" s="718">
        <f>'Calculo precio energia'!K288</f>
        <v>327.81927494064468</v>
      </c>
      <c r="V50" s="718">
        <f>'Calculo precio energia'!K300</f>
        <v>333.99890053129531</v>
      </c>
      <c r="W50" s="718">
        <f>'Calculo precio energia'!K312</f>
        <v>340.29501644255794</v>
      </c>
      <c r="X50" s="718">
        <f>'Calculo precio energia'!K324</f>
        <v>346.70981859950876</v>
      </c>
    </row>
    <row r="51" spans="15:24" x14ac:dyDescent="0.25">
      <c r="O51" s="716" t="s">
        <v>298</v>
      </c>
      <c r="P51" s="718">
        <f>'Calculo precio energia'!K229</f>
        <v>299.0595019838355</v>
      </c>
      <c r="Q51" s="718">
        <f>'Calculo precio energia'!K241</f>
        <v>304.69698547812112</v>
      </c>
      <c r="R51" s="718">
        <f>'Calculo precio energia'!K253</f>
        <v>310.44073953039771</v>
      </c>
      <c r="S51" s="718">
        <f>'Calculo precio energia'!K265</f>
        <v>316.2927674159755</v>
      </c>
      <c r="T51" s="718">
        <f>'Calculo precio energia'!K277</f>
        <v>322.25511017332371</v>
      </c>
      <c r="U51" s="718">
        <f>'Calculo precio energia'!K289</f>
        <v>328.32984731593257</v>
      </c>
      <c r="V51" s="718">
        <f>'Calculo precio energia'!K301</f>
        <v>334.51909755759488</v>
      </c>
      <c r="W51" s="718">
        <f>'Calculo precio energia'!K313</f>
        <v>340.82501955135979</v>
      </c>
      <c r="X51" s="718">
        <f>'Calculo precio energia'!K325</f>
        <v>347.24981264241558</v>
      </c>
    </row>
    <row r="52" spans="15:24" x14ac:dyDescent="0.25">
      <c r="O52" s="716" t="s">
        <v>299</v>
      </c>
      <c r="P52" s="718">
        <f>'Calculo precio energia'!K230</f>
        <v>299.52528155188543</v>
      </c>
      <c r="Q52" s="718">
        <f>'Calculo precio energia'!K242</f>
        <v>305.17154532103086</v>
      </c>
      <c r="R52" s="718">
        <f>'Calculo precio energia'!K254</f>
        <v>310.92424516256915</v>
      </c>
      <c r="S52" s="718">
        <f>'Calculo precio energia'!K266</f>
        <v>316.78538747187429</v>
      </c>
      <c r="T52" s="718">
        <f>'Calculo precio energia'!K278</f>
        <v>322.7570164662946</v>
      </c>
      <c r="U52" s="718">
        <f>'Calculo precio energia'!K290</f>
        <v>328.84121489812355</v>
      </c>
      <c r="V52" s="718">
        <f>'Calculo precio energia'!K302</f>
        <v>335.04010478101111</v>
      </c>
      <c r="W52" s="718">
        <f>'Calculo precio energia'!K314</f>
        <v>341.35584813006795</v>
      </c>
      <c r="X52" s="718">
        <f>'Calculo precio energia'!K326</f>
        <v>347.7906477159213</v>
      </c>
    </row>
    <row r="53" spans="15:24" x14ac:dyDescent="0.25">
      <c r="O53" s="716" t="s">
        <v>300</v>
      </c>
      <c r="P53" s="718">
        <f>'Calculo precio energia'!K231</f>
        <v>299.99178656288092</v>
      </c>
      <c r="Q53" s="718">
        <f>'Calculo precio energia'!K243</f>
        <v>305.64684428199968</v>
      </c>
      <c r="R53" s="718">
        <f>'Calculo precio energia'!K255</f>
        <v>311.4085038456987</v>
      </c>
      <c r="S53" s="718">
        <f>'Calculo precio energia'!K267</f>
        <v>317.27877477427529</v>
      </c>
      <c r="T53" s="718">
        <f>'Calculo precio energia'!K279</f>
        <v>323.25970446890784</v>
      </c>
      <c r="U53" s="718">
        <f>'Calculo precio energia'!K291</f>
        <v>329.3533789257375</v>
      </c>
      <c r="V53" s="718">
        <f>'Calculo precio energia'!K303</f>
        <v>335.56192346341078</v>
      </c>
      <c r="W53" s="718">
        <f>'Calculo precio energia'!K315</f>
        <v>341.88750346433631</v>
      </c>
      <c r="X53" s="718">
        <f>'Calculo precio energia'!K327</f>
        <v>348.33232512991526</v>
      </c>
    </row>
    <row r="54" spans="15:24" x14ac:dyDescent="0.25">
      <c r="O54" s="716" t="s">
        <v>301</v>
      </c>
      <c r="P54" s="718">
        <f>'Calculo precio energia'!K232</f>
        <v>300.45901814668576</v>
      </c>
      <c r="Q54" s="718">
        <f>'Calculo precio energia'!K244</f>
        <v>306.12288351219001</v>
      </c>
      <c r="R54" s="718">
        <f>'Calculo precio energia'!K256</f>
        <v>311.89351675264913</v>
      </c>
      <c r="S54" s="718">
        <f>'Calculo precio energia'!K268</f>
        <v>317.77293051815053</v>
      </c>
      <c r="T54" s="718">
        <f>'Calculo precio energia'!K280</f>
        <v>323.76317539866153</v>
      </c>
      <c r="U54" s="718">
        <f>'Calculo precio energia'!K292</f>
        <v>329.86634063922327</v>
      </c>
      <c r="V54" s="718">
        <f>'Calculo precio energia'!K304</f>
        <v>336.08455486862607</v>
      </c>
      <c r="W54" s="718">
        <f>'Calculo precio energia'!K316</f>
        <v>342.41998684182118</v>
      </c>
      <c r="X54" s="718">
        <f>'Calculo precio energia'!K328</f>
        <v>348.87484619632704</v>
      </c>
    </row>
  </sheetData>
  <mergeCells count="4">
    <mergeCell ref="G15:K15"/>
    <mergeCell ref="G30:K30"/>
    <mergeCell ref="O1:X1"/>
    <mergeCell ref="O28:X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opLeftCell="A4" workbookViewId="0">
      <selection activeCell="B2" sqref="B2:D6"/>
    </sheetView>
  </sheetViews>
  <sheetFormatPr baseColWidth="10" defaultRowHeight="15" x14ac:dyDescent="0.25"/>
  <cols>
    <col min="2" max="2" width="25.85546875" customWidth="1"/>
    <col min="3" max="3" width="26" bestFit="1" customWidth="1"/>
    <col min="4" max="4" width="16.5703125" customWidth="1"/>
  </cols>
  <sheetData>
    <row r="1" spans="2:4" ht="15.75" thickBot="1" x14ac:dyDescent="0.3"/>
    <row r="2" spans="2:4" ht="15.75" thickBot="1" x14ac:dyDescent="0.3">
      <c r="B2" s="88" t="s">
        <v>264</v>
      </c>
      <c r="C2" s="88" t="s">
        <v>263</v>
      </c>
      <c r="D2" s="710" t="s">
        <v>262</v>
      </c>
    </row>
    <row r="3" spans="2:4" x14ac:dyDescent="0.25">
      <c r="B3" s="90" t="s">
        <v>259</v>
      </c>
      <c r="C3" s="90">
        <v>393.2</v>
      </c>
      <c r="D3" s="87">
        <f>($C$6-C3)/$C$6</f>
        <v>0.50850000000000006</v>
      </c>
    </row>
    <row r="4" spans="2:4" x14ac:dyDescent="0.25">
      <c r="B4" s="90" t="s">
        <v>260</v>
      </c>
      <c r="C4" s="90">
        <v>373.2</v>
      </c>
      <c r="D4" s="87">
        <f t="shared" ref="D4:D6" si="0">($C$6-C4)/$C$6</f>
        <v>0.53349999999999997</v>
      </c>
    </row>
    <row r="5" spans="2:4" x14ac:dyDescent="0.25">
      <c r="B5" s="90" t="s">
        <v>261</v>
      </c>
      <c r="C5" s="90">
        <v>438.6</v>
      </c>
      <c r="D5" s="87">
        <f t="shared" si="0"/>
        <v>0.45174999999999998</v>
      </c>
    </row>
    <row r="6" spans="2:4" ht="15.75" thickBot="1" x14ac:dyDescent="0.3">
      <c r="B6" s="711" t="s">
        <v>265</v>
      </c>
      <c r="C6" s="711">
        <v>800</v>
      </c>
      <c r="D6" s="712">
        <f t="shared" si="0"/>
        <v>0</v>
      </c>
    </row>
    <row r="28" spans="7:7" x14ac:dyDescent="0.25">
      <c r="G28" t="s">
        <v>266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47"/>
  <sheetViews>
    <sheetView topLeftCell="T43" zoomScale="70" zoomScaleNormal="70" workbookViewId="0">
      <selection activeCell="AL54" sqref="AL54"/>
    </sheetView>
  </sheetViews>
  <sheetFormatPr baseColWidth="10" defaultRowHeight="15" x14ac:dyDescent="0.25"/>
  <cols>
    <col min="2" max="2" width="17.85546875" bestFit="1" customWidth="1"/>
    <col min="3" max="4" width="19" bestFit="1" customWidth="1"/>
    <col min="5" max="5" width="18.42578125" customWidth="1"/>
    <col min="22" max="22" width="17.85546875" bestFit="1" customWidth="1"/>
    <col min="23" max="24" width="16.28515625" bestFit="1" customWidth="1"/>
    <col min="25" max="26" width="18" bestFit="1" customWidth="1"/>
    <col min="27" max="28" width="16.28515625" bestFit="1" customWidth="1"/>
  </cols>
  <sheetData>
    <row r="1" spans="2:28" x14ac:dyDescent="0.25">
      <c r="B1" s="883" t="s">
        <v>287</v>
      </c>
      <c r="C1" s="883"/>
      <c r="D1" s="883"/>
      <c r="E1" s="883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2:28" x14ac:dyDescent="0.25">
      <c r="C2" s="1" t="s">
        <v>283</v>
      </c>
      <c r="D2" s="1" t="s">
        <v>284</v>
      </c>
      <c r="E2" s="1" t="s">
        <v>285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spans="2:28" x14ac:dyDescent="0.25">
      <c r="B3" s="161" t="s">
        <v>279</v>
      </c>
      <c r="C3" s="521">
        <f>'Análisis Econ CCGT Nuevo (2)'!T28</f>
        <v>531417763.29455149</v>
      </c>
      <c r="D3" s="521">
        <f>'Análisis Econ ISCC Nuevo'!U30</f>
        <v>555564598.14417124</v>
      </c>
      <c r="E3" s="521">
        <f>'Análisis Econ CCGT GT Sauz'!R28</f>
        <v>432911501.67248261</v>
      </c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</row>
    <row r="4" spans="2:28" x14ac:dyDescent="0.25">
      <c r="B4" s="161" t="s">
        <v>158</v>
      </c>
      <c r="C4" s="521">
        <f>'Análisis Econ CCGT Nuevo (2)'!T29</f>
        <v>346312829.55097818</v>
      </c>
      <c r="D4" s="521">
        <f>'Análisis Econ ISCC Nuevo'!U31</f>
        <v>354000925.89072609</v>
      </c>
      <c r="E4" s="521">
        <f>'Análisis Econ CCGT GT Sauz'!R29</f>
        <v>282118546.73412949</v>
      </c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</row>
    <row r="5" spans="2:28" x14ac:dyDescent="0.25">
      <c r="B5" s="161" t="s">
        <v>159</v>
      </c>
      <c r="C5" s="521">
        <f>'Análisis Econ CCGT Nuevo (2)'!T30</f>
        <v>48641966.732469179</v>
      </c>
      <c r="D5" s="521">
        <f>'Análisis Econ ISCC Nuevo'!U32</f>
        <v>49721811.585109808</v>
      </c>
      <c r="E5" s="521">
        <f>'Análisis Econ CCGT GT Sauz'!R30</f>
        <v>39625447.843346626</v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W5" s="754" t="s">
        <v>283</v>
      </c>
      <c r="X5" s="756"/>
      <c r="Y5" s="754" t="s">
        <v>284</v>
      </c>
      <c r="Z5" s="756"/>
      <c r="AA5" s="754" t="s">
        <v>285</v>
      </c>
      <c r="AB5" s="756"/>
    </row>
    <row r="6" spans="2:28" x14ac:dyDescent="0.25">
      <c r="B6" s="161" t="s">
        <v>52</v>
      </c>
      <c r="C6" s="293">
        <f>'Análisis Econ CCGT Nuevo (2)'!T31</f>
        <v>2.8709000486757796</v>
      </c>
      <c r="D6" s="293">
        <f>'Análisis Econ ISCC Nuevo'!U33</f>
        <v>2.7562734491441843</v>
      </c>
      <c r="E6" s="293">
        <f>'Análisis Econ CCGT GT Sauz'!R31</f>
        <v>2.8709000486757796</v>
      </c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W6" s="524" t="s">
        <v>246</v>
      </c>
      <c r="X6" s="706" t="s">
        <v>288</v>
      </c>
      <c r="Y6" s="707" t="s">
        <v>246</v>
      </c>
      <c r="Z6" s="524" t="s">
        <v>288</v>
      </c>
      <c r="AA6" s="524" t="s">
        <v>246</v>
      </c>
      <c r="AB6" s="524" t="s">
        <v>288</v>
      </c>
    </row>
    <row r="7" spans="2:28" x14ac:dyDescent="0.25">
      <c r="B7" s="161" t="s">
        <v>280</v>
      </c>
      <c r="C7" s="154">
        <f>'Análisis Econ CCGT Nuevo (2)'!T32</f>
        <v>0.38759609306158271</v>
      </c>
      <c r="D7" s="154">
        <f>'Análisis Econ ISCC Nuevo'!U34</f>
        <v>0.37186416543416079</v>
      </c>
      <c r="E7" s="154">
        <f>'Análisis Econ CCGT GT Sauz'!R32</f>
        <v>0.37699670832953092</v>
      </c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V7" s="291" t="s">
        <v>279</v>
      </c>
      <c r="W7" s="696">
        <f>'Análisis Finan CCGT Nuevo'!Q6</f>
        <v>419486596.71711534</v>
      </c>
      <c r="X7" s="697">
        <f>'Análisis Finan CCGT Nuevo'!S6</f>
        <v>392147640.4801231</v>
      </c>
      <c r="Y7" s="696">
        <f>'Análisis Finan ISCC Nuevo'!Q6</f>
        <v>433680991.26951981</v>
      </c>
      <c r="Z7" s="697">
        <f>'Análisis Finan ISCC Nuevo'!S6</f>
        <v>403911172.04720712</v>
      </c>
      <c r="AA7" s="708">
        <f>'Análisis Finan CCGT GT Sauz'!Q6</f>
        <v>341728457.45773256</v>
      </c>
      <c r="AB7" s="709">
        <f>'Análisis Finan CCGT GT Sauz'!S6</f>
        <v>319457187.25151902</v>
      </c>
    </row>
    <row r="8" spans="2:28" x14ac:dyDescent="0.25">
      <c r="B8" s="161" t="s">
        <v>281</v>
      </c>
      <c r="C8" s="154">
        <f>'Análisis Econ CCGT Nuevo (2)'!T33</f>
        <v>0.19168167822219795</v>
      </c>
      <c r="D8" s="154">
        <f>'Análisis Econ ISCC Nuevo'!U35</f>
        <v>0.188828846465811</v>
      </c>
      <c r="E8" s="154">
        <f>'Análisis Econ CCGT GT Sauz'!R33</f>
        <v>0.19168167822219795</v>
      </c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V8" s="292" t="s">
        <v>158</v>
      </c>
      <c r="W8" s="696">
        <f>'Análisis Finan CCGT Nuevo'!Q7</f>
        <v>395145297.92983544</v>
      </c>
      <c r="X8" s="697">
        <f>'Análisis Finan CCGT Nuevo'!S7</f>
        <v>367806341.6928432</v>
      </c>
      <c r="Y8" s="696">
        <f>'Análisis Finan ISCC Nuevo'!Q7</f>
        <v>407175368.36819178</v>
      </c>
      <c r="Z8" s="697">
        <f>'Análisis Finan ISCC Nuevo'!S7</f>
        <v>377405549.14587909</v>
      </c>
      <c r="AA8" s="696">
        <f>'Análisis Finan CCGT GT Sauz'!Q7</f>
        <v>321899183.88333911</v>
      </c>
      <c r="AB8" s="697">
        <f>'Análisis Finan CCGT GT Sauz'!S7</f>
        <v>299627913.67712557</v>
      </c>
    </row>
    <row r="9" spans="2:28" x14ac:dyDescent="0.25">
      <c r="B9" s="161" t="s">
        <v>282</v>
      </c>
      <c r="C9" s="293">
        <f>'Análisis Econ CCGT Nuevo (2)'!T34</f>
        <v>2.622487105192969</v>
      </c>
      <c r="D9" s="293">
        <f>'Análisis Econ ISCC Nuevo'!U36</f>
        <v>2.7346613226375207</v>
      </c>
      <c r="E9" s="293">
        <f>'Análisis Econ CCGT GT Sauz'!R34</f>
        <v>2.7631686691964985</v>
      </c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V9" s="292" t="s">
        <v>159</v>
      </c>
      <c r="W9" s="696">
        <f>'Análisis Finan CCGT Nuevo'!Q8</f>
        <v>55500815.43705947</v>
      </c>
      <c r="X9" s="697">
        <f>'Análisis Finan CCGT Nuevo'!S8</f>
        <v>51660875.110550568</v>
      </c>
      <c r="Y9" s="696">
        <f>'Análisis Finan ISCC Nuevo'!Q8</f>
        <v>57190519.762511417</v>
      </c>
      <c r="Z9" s="697">
        <f>'Análisis Finan ISCC Nuevo'!S8</f>
        <v>53009148.376066156</v>
      </c>
      <c r="AA9" s="696">
        <f>'Análisis Finan CCGT GT Sauz'!Q8</f>
        <v>45212905.955473661</v>
      </c>
      <c r="AB9" s="697">
        <f>'Análisis Finan CCGT GT Sauz'!S8</f>
        <v>42084756.224881597</v>
      </c>
    </row>
    <row r="10" spans="2:28" x14ac:dyDescent="0.25">
      <c r="B10" s="48" t="s">
        <v>251</v>
      </c>
      <c r="C10" s="594">
        <f>'Análisis Econ CCGT Nuevo (2)'!V22</f>
        <v>1123831260.2421062</v>
      </c>
      <c r="D10" s="594">
        <f>'Análisis Econ ISCC Nuevo'!W22</f>
        <v>1168077541.8579221</v>
      </c>
      <c r="E10" s="594">
        <f>'Análisis Econ CCGT GT Sauz'!V22</f>
        <v>931972796.49108553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V10" s="292" t="s">
        <v>52</v>
      </c>
      <c r="W10" s="698">
        <f>'Análisis Finan CCGT Nuevo'!Q9</f>
        <v>17.233533854665467</v>
      </c>
      <c r="X10" s="699">
        <f>'Análisis Finan CCGT Nuevo'!S9</f>
        <v>16.110382765814002</v>
      </c>
      <c r="Y10" s="704">
        <f>'Análisis Finan ISCC Nuevo'!Q9</f>
        <v>16.361848687124827</v>
      </c>
      <c r="Z10" s="705">
        <f>'Análisis Finan ISCC Nuevo'!S9</f>
        <v>15.238697598273369</v>
      </c>
      <c r="AA10" s="704">
        <f>'Análisis Finan CCGT GT Sauz'!Q9</f>
        <v>17.233533854665467</v>
      </c>
      <c r="AB10" s="705">
        <f>'Análisis Finan CCGT GT Sauz'!S9</f>
        <v>16.110382765814006</v>
      </c>
    </row>
    <row r="11" spans="2:28" x14ac:dyDescent="0.25"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V11" s="292" t="s">
        <v>280</v>
      </c>
      <c r="W11" s="700">
        <f>'Análisis Finan CCGT Nuevo'!Q10</f>
        <v>2.0740622532660575</v>
      </c>
      <c r="X11" s="701">
        <f>'Análisis Finan CCGT Nuevo'!S10</f>
        <v>1.8769729328315434</v>
      </c>
      <c r="Y11" s="700">
        <f>'Análisis Finan ISCC Nuevo'!Q10</f>
        <v>1.954699656370988</v>
      </c>
      <c r="Z11" s="701">
        <f>'Análisis Finan ISCC Nuevo'!S10</f>
        <v>1.7578224366105575</v>
      </c>
      <c r="AA11" s="700">
        <f>'Análisis Finan CCGT GT Sauz'!Q10</f>
        <v>1.8737229740820083</v>
      </c>
      <c r="AB11" s="701">
        <f>'Análisis Finan CCGT GT Sauz'!S10</f>
        <v>1.6827407371900973</v>
      </c>
    </row>
    <row r="12" spans="2:28" x14ac:dyDescent="0.25"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V12" s="292" t="s">
        <v>281</v>
      </c>
      <c r="W12" s="700">
        <f>'Análisis Finan CCGT Nuevo'!Q11</f>
        <v>0.32417664903084908</v>
      </c>
      <c r="X12" s="701">
        <f>'Análisis Finan CCGT Nuevo'!S11</f>
        <v>0.31893760138173888</v>
      </c>
      <c r="Y12" s="700">
        <f>'Análisis Finan ISCC Nuevo'!Q11</f>
        <v>0.32013980730459801</v>
      </c>
      <c r="Z12" s="701">
        <f>'Análisis Finan ISCC Nuevo'!S11</f>
        <v>0.31462894556734233</v>
      </c>
      <c r="AA12" s="700">
        <f>'Análisis Finan CCGT GT Sauz'!Q11</f>
        <v>0.32417664903084908</v>
      </c>
      <c r="AB12" s="701">
        <f>'Análisis Finan CCGT GT Sauz'!S11</f>
        <v>0.31893760138173888</v>
      </c>
    </row>
    <row r="13" spans="2:28" x14ac:dyDescent="0.25"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V13" s="292" t="s">
        <v>282</v>
      </c>
      <c r="W13" s="698">
        <f>'Análisis Finan CCGT Nuevo'!Q12</f>
        <v>0.48580188445994932</v>
      </c>
      <c r="X13" s="699">
        <f>'Análisis Finan CCGT Nuevo'!S12</f>
        <v>0.53772913851798554</v>
      </c>
      <c r="Y13" s="704">
        <f>'Análisis Finan ISCC Nuevo'!Q12</f>
        <v>0.51591633374979595</v>
      </c>
      <c r="Z13" s="705">
        <f>'Análisis Finan ISCC Nuevo'!S12</f>
        <v>0.57487161789776109</v>
      </c>
      <c r="AA13" s="704">
        <f>'Análisis Finan CCGT GT Sauz'!Q12</f>
        <v>0.55752164162100926</v>
      </c>
      <c r="AB13" s="705">
        <f>'Análisis Finan CCGT GT Sauz'!S12</f>
        <v>0.62700941291229018</v>
      </c>
    </row>
    <row r="14" spans="2:28" x14ac:dyDescent="0.25"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V14" s="695" t="s">
        <v>251</v>
      </c>
      <c r="W14" s="702">
        <f>'Análisis Finan CCGT Nuevo'!L29</f>
        <v>1086494455.5969615</v>
      </c>
      <c r="X14" s="703">
        <f>'Análisis Finan CCGT Nuevo'!L93</f>
        <v>1038108832.4108953</v>
      </c>
      <c r="Y14" s="702">
        <f>'Análisis Finan ISCC Nuevo'!L29</f>
        <v>1127420908.335067</v>
      </c>
      <c r="Z14" s="703">
        <f>'Análisis Finan ISCC Nuevo'!L93</f>
        <v>1074733042.6125603</v>
      </c>
      <c r="AA14" s="702">
        <f>'Análisis Finan CCGT GT Sauz'!L29</f>
        <v>901556929.19606876</v>
      </c>
      <c r="AB14" s="703">
        <f>'Análisis Finan CCGT GT Sauz'!L93</f>
        <v>862140307.77382135</v>
      </c>
    </row>
    <row r="15" spans="2:28" x14ac:dyDescent="0.25"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</row>
    <row r="16" spans="2:28" x14ac:dyDescent="0.25"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V16" s="1" t="s">
        <v>279</v>
      </c>
      <c r="W16" s="226" t="s">
        <v>246</v>
      </c>
      <c r="X16" s="226" t="s">
        <v>288</v>
      </c>
    </row>
    <row r="17" spans="6:24" x14ac:dyDescent="0.25"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V17" s="48" t="s">
        <v>283</v>
      </c>
      <c r="W17" s="594">
        <f>W7</f>
        <v>419486596.71711534</v>
      </c>
      <c r="X17" s="594">
        <f>X7</f>
        <v>392147640.4801231</v>
      </c>
    </row>
    <row r="18" spans="6:24" x14ac:dyDescent="0.25"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V18" s="48" t="s">
        <v>284</v>
      </c>
      <c r="W18" s="594">
        <f>Y7</f>
        <v>433680991.26951981</v>
      </c>
      <c r="X18" s="594">
        <f>Z7</f>
        <v>403911172.04720712</v>
      </c>
    </row>
    <row r="19" spans="6:24" x14ac:dyDescent="0.25"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V19" s="48" t="s">
        <v>285</v>
      </c>
      <c r="W19" s="594">
        <f>AA7</f>
        <v>341728457.45773256</v>
      </c>
      <c r="X19" s="594">
        <f>AB7</f>
        <v>319457187.25151902</v>
      </c>
    </row>
    <row r="20" spans="6:24" x14ac:dyDescent="0.25"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V20" t="s">
        <v>158</v>
      </c>
      <c r="W20" s="226" t="s">
        <v>246</v>
      </c>
      <c r="X20" s="226" t="s">
        <v>288</v>
      </c>
    </row>
    <row r="21" spans="6:24" x14ac:dyDescent="0.25"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V21" s="48" t="s">
        <v>283</v>
      </c>
      <c r="W21" s="289">
        <f>W8</f>
        <v>395145297.92983544</v>
      </c>
      <c r="X21" s="289">
        <f>X8</f>
        <v>367806341.6928432</v>
      </c>
    </row>
    <row r="22" spans="6:24" x14ac:dyDescent="0.25"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V22" s="48" t="s">
        <v>284</v>
      </c>
      <c r="W22" s="289">
        <f>Y8</f>
        <v>407175368.36819178</v>
      </c>
      <c r="X22" s="289">
        <f>Z8</f>
        <v>377405549.14587909</v>
      </c>
    </row>
    <row r="23" spans="6:24" x14ac:dyDescent="0.25"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V23" s="48" t="s">
        <v>285</v>
      </c>
      <c r="W23" s="289">
        <f>AA8</f>
        <v>321899183.88333911</v>
      </c>
      <c r="X23" s="289">
        <f>AB8</f>
        <v>299627913.67712557</v>
      </c>
    </row>
    <row r="24" spans="6:24" x14ac:dyDescent="0.25"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V24" s="48" t="s">
        <v>159</v>
      </c>
      <c r="W24" s="226" t="s">
        <v>246</v>
      </c>
      <c r="X24" s="226" t="s">
        <v>288</v>
      </c>
    </row>
    <row r="25" spans="6:24" x14ac:dyDescent="0.25"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V25" s="48" t="s">
        <v>283</v>
      </c>
      <c r="W25" s="289">
        <f>W9</f>
        <v>55500815.43705947</v>
      </c>
      <c r="X25" s="289">
        <f>X9</f>
        <v>51660875.110550568</v>
      </c>
    </row>
    <row r="26" spans="6:24" x14ac:dyDescent="0.25"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V26" s="48" t="s">
        <v>284</v>
      </c>
      <c r="W26" s="289">
        <f>Y9</f>
        <v>57190519.762511417</v>
      </c>
      <c r="X26" s="289">
        <f>Z9</f>
        <v>53009148.376066156</v>
      </c>
    </row>
    <row r="27" spans="6:24" x14ac:dyDescent="0.25"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V27" s="48" t="s">
        <v>285</v>
      </c>
      <c r="W27" s="289">
        <f>AA9</f>
        <v>45212905.955473661</v>
      </c>
      <c r="X27" s="289">
        <f>AB9</f>
        <v>42084756.224881597</v>
      </c>
    </row>
    <row r="28" spans="6:24" x14ac:dyDescent="0.25"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V28" s="48" t="s">
        <v>52</v>
      </c>
      <c r="W28" s="226" t="s">
        <v>246</v>
      </c>
      <c r="X28" s="226" t="s">
        <v>288</v>
      </c>
    </row>
    <row r="29" spans="6:24" x14ac:dyDescent="0.25"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V29" s="48" t="s">
        <v>283</v>
      </c>
      <c r="W29" s="293">
        <f>W10</f>
        <v>17.233533854665467</v>
      </c>
      <c r="X29" s="293">
        <f>X10</f>
        <v>16.110382765814002</v>
      </c>
    </row>
    <row r="30" spans="6:24" x14ac:dyDescent="0.25"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V30" s="48" t="s">
        <v>284</v>
      </c>
      <c r="W30" s="293">
        <f>Y10</f>
        <v>16.361848687124827</v>
      </c>
      <c r="X30" s="293">
        <f>Z10</f>
        <v>15.238697598273369</v>
      </c>
    </row>
    <row r="31" spans="6:24" x14ac:dyDescent="0.25"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V31" s="48" t="s">
        <v>285</v>
      </c>
      <c r="W31" s="293">
        <f>AA10</f>
        <v>17.233533854665467</v>
      </c>
      <c r="X31" s="293">
        <f>AB10</f>
        <v>16.110382765814006</v>
      </c>
    </row>
    <row r="32" spans="6:24" x14ac:dyDescent="0.25"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V32" s="48" t="s">
        <v>280</v>
      </c>
      <c r="W32" s="226" t="s">
        <v>246</v>
      </c>
      <c r="X32" s="226" t="s">
        <v>288</v>
      </c>
    </row>
    <row r="33" spans="6:24" x14ac:dyDescent="0.25"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V33" s="48" t="s">
        <v>283</v>
      </c>
      <c r="W33" s="155">
        <f>W11</f>
        <v>2.0740622532660575</v>
      </c>
      <c r="X33" s="155">
        <f>X11</f>
        <v>1.8769729328315434</v>
      </c>
    </row>
    <row r="34" spans="6:24" x14ac:dyDescent="0.25"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V34" s="48" t="s">
        <v>284</v>
      </c>
      <c r="W34" s="155">
        <f>Y11</f>
        <v>1.954699656370988</v>
      </c>
      <c r="X34" s="155">
        <f>Z11</f>
        <v>1.7578224366105575</v>
      </c>
    </row>
    <row r="35" spans="6:24" x14ac:dyDescent="0.25"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V35" s="48" t="s">
        <v>285</v>
      </c>
      <c r="W35" s="155">
        <f>AA11</f>
        <v>1.8737229740820083</v>
      </c>
      <c r="X35" s="155">
        <f>AB11</f>
        <v>1.6827407371900973</v>
      </c>
    </row>
    <row r="36" spans="6:24" x14ac:dyDescent="0.25"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V36" s="48" t="s">
        <v>281</v>
      </c>
      <c r="W36" s="226" t="s">
        <v>246</v>
      </c>
      <c r="X36" s="226" t="s">
        <v>288</v>
      </c>
    </row>
    <row r="37" spans="6:24" x14ac:dyDescent="0.25"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V37" s="48" t="s">
        <v>283</v>
      </c>
      <c r="W37" s="155">
        <f>W12</f>
        <v>0.32417664903084908</v>
      </c>
      <c r="X37" s="155">
        <f>X12</f>
        <v>0.31893760138173888</v>
      </c>
    </row>
    <row r="38" spans="6:24" x14ac:dyDescent="0.25"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V38" s="48" t="s">
        <v>284</v>
      </c>
      <c r="W38" s="155">
        <f>Y12</f>
        <v>0.32013980730459801</v>
      </c>
      <c r="X38" s="155">
        <f>Z12</f>
        <v>0.31462894556734233</v>
      </c>
    </row>
    <row r="39" spans="6:24" x14ac:dyDescent="0.25"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V39" s="48" t="s">
        <v>285</v>
      </c>
      <c r="W39" s="155">
        <f>AA12</f>
        <v>0.32417664903084908</v>
      </c>
      <c r="X39" s="155">
        <f>AB12</f>
        <v>0.31893760138173888</v>
      </c>
    </row>
    <row r="40" spans="6:24" x14ac:dyDescent="0.25"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V40" s="48" t="s">
        <v>289</v>
      </c>
      <c r="W40" s="226" t="s">
        <v>246</v>
      </c>
      <c r="X40" s="226" t="s">
        <v>288</v>
      </c>
    </row>
    <row r="41" spans="6:24" x14ac:dyDescent="0.25"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V41" s="48" t="s">
        <v>283</v>
      </c>
      <c r="W41" s="293">
        <f>W13</f>
        <v>0.48580188445994932</v>
      </c>
      <c r="X41" s="293">
        <f>X13</f>
        <v>0.53772913851798554</v>
      </c>
    </row>
    <row r="42" spans="6:24" x14ac:dyDescent="0.25"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V42" s="48" t="s">
        <v>284</v>
      </c>
      <c r="W42" s="293">
        <f>Y13</f>
        <v>0.51591633374979595</v>
      </c>
      <c r="X42" s="293">
        <f>Z13</f>
        <v>0.57487161789776109</v>
      </c>
    </row>
    <row r="43" spans="6:24" x14ac:dyDescent="0.25"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V43" s="48" t="s">
        <v>285</v>
      </c>
      <c r="W43" s="293">
        <f>AA13</f>
        <v>0.55752164162100926</v>
      </c>
      <c r="X43" s="293">
        <f>AB13</f>
        <v>0.62700941291229018</v>
      </c>
    </row>
    <row r="44" spans="6:24" x14ac:dyDescent="0.25"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V44" s="48" t="s">
        <v>251</v>
      </c>
      <c r="W44" s="226" t="s">
        <v>246</v>
      </c>
      <c r="X44" s="226" t="s">
        <v>288</v>
      </c>
    </row>
    <row r="45" spans="6:24" x14ac:dyDescent="0.25"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V45" s="48" t="s">
        <v>283</v>
      </c>
      <c r="W45" s="289">
        <f>W14</f>
        <v>1086494455.5969615</v>
      </c>
      <c r="X45" s="289">
        <f>X14</f>
        <v>1038108832.4108953</v>
      </c>
    </row>
    <row r="46" spans="6:24" x14ac:dyDescent="0.25">
      <c r="V46" s="48" t="s">
        <v>284</v>
      </c>
      <c r="W46" s="289">
        <f>Y14</f>
        <v>1127420908.335067</v>
      </c>
      <c r="X46" s="289">
        <f>Z14</f>
        <v>1074733042.6125603</v>
      </c>
    </row>
    <row r="47" spans="6:24" x14ac:dyDescent="0.25">
      <c r="V47" s="48" t="s">
        <v>285</v>
      </c>
      <c r="W47" s="289">
        <f>AA14</f>
        <v>901556929.19606876</v>
      </c>
      <c r="X47" s="289">
        <f>AB14</f>
        <v>862140307.77382135</v>
      </c>
    </row>
  </sheetData>
  <mergeCells count="4">
    <mergeCell ref="B1:E1"/>
    <mergeCell ref="W5:X5"/>
    <mergeCell ref="Y5:Z5"/>
    <mergeCell ref="AA5:A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5"/>
  <sheetViews>
    <sheetView topLeftCell="B76" zoomScale="80" zoomScaleNormal="80" workbookViewId="0">
      <selection activeCell="S10" sqref="S10"/>
    </sheetView>
  </sheetViews>
  <sheetFormatPr baseColWidth="10" defaultRowHeight="15" x14ac:dyDescent="0.25"/>
  <cols>
    <col min="3" max="3" width="15.140625" hidden="1" customWidth="1"/>
    <col min="4" max="4" width="14.7109375" hidden="1" customWidth="1"/>
    <col min="5" max="5" width="21.140625" hidden="1" customWidth="1"/>
    <col min="6" max="6" width="18" customWidth="1"/>
    <col min="7" max="7" width="15.85546875" customWidth="1"/>
    <col min="8" max="8" width="18.28515625" customWidth="1"/>
    <col min="9" max="9" width="16.140625" customWidth="1"/>
    <col min="10" max="11" width="17" customWidth="1"/>
    <col min="12" max="12" width="16.85546875" customWidth="1"/>
    <col min="13" max="13" width="15" customWidth="1"/>
    <col min="15" max="15" width="20" customWidth="1"/>
    <col min="16" max="16" width="18" hidden="1" customWidth="1"/>
    <col min="17" max="17" width="17" customWidth="1"/>
    <col min="18" max="18" width="17.7109375" customWidth="1"/>
    <col min="19" max="19" width="15.5703125" customWidth="1"/>
  </cols>
  <sheetData>
    <row r="1" spans="2:19" ht="15.75" thickBot="1" x14ac:dyDescent="0.3">
      <c r="C1" t="s">
        <v>239</v>
      </c>
      <c r="E1" s="155">
        <v>2.3400000000000001E-2</v>
      </c>
    </row>
    <row r="2" spans="2:19" x14ac:dyDescent="0.25">
      <c r="B2" s="791" t="s">
        <v>240</v>
      </c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3"/>
    </row>
    <row r="3" spans="2:19" x14ac:dyDescent="0.25">
      <c r="B3" s="794" t="s">
        <v>77</v>
      </c>
      <c r="C3" s="788" t="s">
        <v>226</v>
      </c>
      <c r="D3" s="788" t="s">
        <v>252</v>
      </c>
      <c r="E3" s="796">
        <v>0.12</v>
      </c>
      <c r="F3" s="798" t="s">
        <v>80</v>
      </c>
      <c r="G3" s="606"/>
      <c r="H3" s="610"/>
      <c r="I3" s="610"/>
      <c r="J3" s="611"/>
      <c r="K3" s="800">
        <f>(1-H5)*D12</f>
        <v>-18510493.374357324</v>
      </c>
      <c r="L3" s="606" t="s">
        <v>242</v>
      </c>
      <c r="M3" s="607">
        <v>94</v>
      </c>
      <c r="O3" s="638"/>
      <c r="P3" s="511" t="s">
        <v>245</v>
      </c>
      <c r="Q3" s="511" t="s">
        <v>246</v>
      </c>
      <c r="R3" s="511" t="s">
        <v>247</v>
      </c>
      <c r="S3" s="515" t="s">
        <v>248</v>
      </c>
    </row>
    <row r="4" spans="2:19" x14ac:dyDescent="0.25">
      <c r="B4" s="795"/>
      <c r="C4" s="789"/>
      <c r="D4" s="789"/>
      <c r="E4" s="797"/>
      <c r="F4" s="799"/>
      <c r="G4" s="612" t="s">
        <v>81</v>
      </c>
      <c r="H4" s="613"/>
      <c r="I4" s="613"/>
      <c r="J4" s="614">
        <f>$M$4+M3/10000</f>
        <v>3.2800000000000003E-2</v>
      </c>
      <c r="K4" s="801"/>
      <c r="L4" s="608" t="s">
        <v>243</v>
      </c>
      <c r="M4" s="609">
        <v>2.3400000000000001E-2</v>
      </c>
      <c r="O4" s="260" t="s">
        <v>48</v>
      </c>
      <c r="P4" s="516">
        <v>0.12</v>
      </c>
      <c r="Q4" s="516">
        <v>0.12</v>
      </c>
      <c r="R4" s="516">
        <v>0.12</v>
      </c>
      <c r="S4" s="516">
        <v>0.12</v>
      </c>
    </row>
    <row r="5" spans="2:19" x14ac:dyDescent="0.25">
      <c r="B5" s="795"/>
      <c r="C5" s="789"/>
      <c r="D5" s="789"/>
      <c r="E5" s="804" t="s">
        <v>82</v>
      </c>
      <c r="F5" s="615">
        <v>0.02</v>
      </c>
      <c r="G5" s="612" t="s">
        <v>83</v>
      </c>
      <c r="H5" s="616">
        <v>0.9</v>
      </c>
      <c r="I5" s="600">
        <f>H5*D12</f>
        <v>-166594440.36921597</v>
      </c>
      <c r="J5" s="601"/>
      <c r="K5" s="802"/>
      <c r="L5" s="782" t="s">
        <v>251</v>
      </c>
      <c r="M5" s="785" t="s">
        <v>226</v>
      </c>
      <c r="O5" s="260" t="s">
        <v>22</v>
      </c>
      <c r="P5" s="511">
        <v>17</v>
      </c>
      <c r="Q5" s="511">
        <v>17</v>
      </c>
      <c r="R5" s="511">
        <v>17</v>
      </c>
      <c r="S5" s="511">
        <v>17</v>
      </c>
    </row>
    <row r="6" spans="2:19" x14ac:dyDescent="0.25">
      <c r="B6" s="637" t="s">
        <v>85</v>
      </c>
      <c r="C6" s="790"/>
      <c r="D6" s="790"/>
      <c r="E6" s="805"/>
      <c r="F6" s="617" t="s">
        <v>86</v>
      </c>
      <c r="G6" s="618" t="s">
        <v>87</v>
      </c>
      <c r="H6" s="619" t="s">
        <v>88</v>
      </c>
      <c r="I6" s="619" t="s">
        <v>89</v>
      </c>
      <c r="J6" s="620" t="s">
        <v>90</v>
      </c>
      <c r="K6" s="803"/>
      <c r="L6" s="783"/>
      <c r="M6" s="786"/>
      <c r="O6" s="514" t="s">
        <v>244</v>
      </c>
      <c r="P6" s="517">
        <f>C30</f>
        <v>531417763.29455149</v>
      </c>
      <c r="Q6" s="517">
        <f>M30</f>
        <v>419486596.71711534</v>
      </c>
      <c r="R6" s="517">
        <f>M62</f>
        <v>416287040.66282541</v>
      </c>
      <c r="S6" s="517">
        <f>M94</f>
        <v>392147640.4801231</v>
      </c>
    </row>
    <row r="7" spans="2:19" x14ac:dyDescent="0.25">
      <c r="B7" s="634"/>
      <c r="C7" s="126"/>
      <c r="D7" s="126"/>
      <c r="E7" s="177"/>
      <c r="F7" s="621"/>
      <c r="G7" s="610"/>
      <c r="H7" s="610"/>
      <c r="I7" s="610"/>
      <c r="J7" s="611"/>
      <c r="K7" s="622"/>
      <c r="L7" s="783"/>
      <c r="M7" s="786"/>
      <c r="O7" s="260" t="s">
        <v>94</v>
      </c>
      <c r="P7" s="517">
        <f>C31</f>
        <v>346312829.55097818</v>
      </c>
      <c r="Q7" s="517">
        <f>M31</f>
        <v>395145297.92983544</v>
      </c>
      <c r="R7" s="517">
        <f>M63</f>
        <v>391945741.8755455</v>
      </c>
      <c r="S7" s="517">
        <f>M95</f>
        <v>367806341.6928432</v>
      </c>
    </row>
    <row r="8" spans="2:19" x14ac:dyDescent="0.25">
      <c r="B8" s="633"/>
      <c r="C8" s="134"/>
      <c r="D8" s="134"/>
      <c r="E8" s="178"/>
      <c r="F8" s="623">
        <f>I5*F5*-1</f>
        <v>3331888.8073843196</v>
      </c>
      <c r="G8" s="613"/>
      <c r="H8" s="613" t="s">
        <v>97</v>
      </c>
      <c r="I8" s="613"/>
      <c r="J8" s="624"/>
      <c r="K8" s="625"/>
      <c r="L8" s="783"/>
      <c r="M8" s="786"/>
      <c r="O8" s="260" t="s">
        <v>51</v>
      </c>
      <c r="P8" s="518">
        <f>-PMT(P4,P5,P7)</f>
        <v>48641966.732469179</v>
      </c>
      <c r="Q8" s="518">
        <f>-PMT(Q4,Q5,Q7)</f>
        <v>55500815.43705947</v>
      </c>
      <c r="R8" s="518">
        <f>-PMT(R4,R5,R7)</f>
        <v>55051416.264198244</v>
      </c>
      <c r="S8" s="518">
        <f>-PMT(S4,S5,S7)</f>
        <v>51660875.110550568</v>
      </c>
    </row>
    <row r="9" spans="2:19" x14ac:dyDescent="0.25">
      <c r="B9" s="633"/>
      <c r="C9" s="134"/>
      <c r="D9" s="134"/>
      <c r="E9" s="178"/>
      <c r="F9" s="623">
        <f>I5*G9*-1</f>
        <v>1665944.4036921598</v>
      </c>
      <c r="G9" s="626">
        <v>0.01</v>
      </c>
      <c r="H9" s="613" t="s">
        <v>92</v>
      </c>
      <c r="I9" s="613"/>
      <c r="J9" s="624"/>
      <c r="K9" s="625"/>
      <c r="L9" s="783"/>
      <c r="M9" s="786"/>
      <c r="O9" s="260" t="s">
        <v>52</v>
      </c>
      <c r="P9" s="519">
        <f>P6/-D12</f>
        <v>2.8709000486757796</v>
      </c>
      <c r="Q9" s="519">
        <f>Q6/-K12</f>
        <v>17.233533854665467</v>
      </c>
      <c r="R9" s="519">
        <f>R6/-K44</f>
        <v>17.102088278065342</v>
      </c>
      <c r="S9" s="519">
        <f>S6/-K76</f>
        <v>16.110382765814002</v>
      </c>
    </row>
    <row r="10" spans="2:19" x14ac:dyDescent="0.25">
      <c r="B10" s="633"/>
      <c r="C10" s="134"/>
      <c r="D10" s="134"/>
      <c r="E10" s="178"/>
      <c r="F10" s="627">
        <f>I5*G10*-1</f>
        <v>832972.2018460799</v>
      </c>
      <c r="G10" s="628">
        <v>5.0000000000000001E-3</v>
      </c>
      <c r="H10" s="613" t="s">
        <v>93</v>
      </c>
      <c r="I10" s="613"/>
      <c r="J10" s="624"/>
      <c r="K10" s="625"/>
      <c r="L10" s="783"/>
      <c r="M10" s="786"/>
      <c r="O10" s="260" t="s">
        <v>53</v>
      </c>
      <c r="P10" s="520">
        <f>'Análisis Econ CCGT Nuevo'!T31</f>
        <v>0.38759609306158271</v>
      </c>
      <c r="Q10" s="520">
        <f>IRR(M12:M29)</f>
        <v>2.0740622532660575</v>
      </c>
      <c r="R10" s="516">
        <f>IRR(M44:M61)</f>
        <v>2.0509789064505197</v>
      </c>
      <c r="S10" s="520">
        <f>IRR(M76:M93)</f>
        <v>1.8769729328315434</v>
      </c>
    </row>
    <row r="11" spans="2:19" x14ac:dyDescent="0.25">
      <c r="B11" s="636"/>
      <c r="C11" s="134"/>
      <c r="D11" s="134"/>
      <c r="E11" s="178"/>
      <c r="F11" s="629"/>
      <c r="G11" s="630"/>
      <c r="H11" s="630"/>
      <c r="I11" s="630"/>
      <c r="J11" s="631"/>
      <c r="K11" s="632"/>
      <c r="L11" s="784"/>
      <c r="M11" s="787"/>
      <c r="O11" s="260" t="s">
        <v>54</v>
      </c>
      <c r="P11" s="516">
        <f>'Análisis Econ CCGT Nuevo'!T32</f>
        <v>0.19168167822219795</v>
      </c>
      <c r="Q11" s="520">
        <f>MIRR(M12:M29,Q10,Q4)</f>
        <v>0.32417664903084908</v>
      </c>
      <c r="R11" s="516">
        <f>MIRR(M44:M61,R10,R4)</f>
        <v>0.32358039355605461</v>
      </c>
      <c r="S11" s="520">
        <f>MIRR(M76:M93,S10,S4)</f>
        <v>0.31893760138173888</v>
      </c>
    </row>
    <row r="12" spans="2:19" x14ac:dyDescent="0.25">
      <c r="B12" s="635">
        <v>2018</v>
      </c>
      <c r="C12" s="134"/>
      <c r="D12" s="335">
        <f>'Análisis Econ CCGT Nuevo'!T5</f>
        <v>-185104933.74357328</v>
      </c>
      <c r="E12" s="534">
        <f>D12</f>
        <v>-185104933.74357328</v>
      </c>
      <c r="F12" s="670">
        <f>E12</f>
        <v>-185104933.74357328</v>
      </c>
      <c r="G12" s="602"/>
      <c r="H12" s="602"/>
      <c r="I12" s="602"/>
      <c r="J12" s="677">
        <f>I5*-1</f>
        <v>166594440.36921597</v>
      </c>
      <c r="K12" s="680">
        <f>K3-(F8+F9+F10)</f>
        <v>-24341298.787279882</v>
      </c>
      <c r="L12" s="681">
        <f>K12</f>
        <v>-24341298.787279882</v>
      </c>
      <c r="M12" s="682">
        <f>K12</f>
        <v>-24341298.787279882</v>
      </c>
      <c r="O12" s="260" t="s">
        <v>56</v>
      </c>
      <c r="P12" s="519">
        <f>2-E14/(-E14+E15)</f>
        <v>2.622487105192969</v>
      </c>
      <c r="Q12" s="519">
        <f>-L12/(-L12+L13)</f>
        <v>0.48580188445994932</v>
      </c>
      <c r="R12" s="519">
        <f>-L44/(-L44+L45)</f>
        <v>0.49135497737090755</v>
      </c>
      <c r="S12" s="519">
        <f>-L76/(-L76+L77)</f>
        <v>0.53772913851798554</v>
      </c>
    </row>
    <row r="13" spans="2:19" x14ac:dyDescent="0.25">
      <c r="B13" s="595">
        <v>2019</v>
      </c>
      <c r="C13" s="142">
        <f>'Análisis Econ CCGT Nuevo'!U6</f>
        <v>69915446.112585708</v>
      </c>
      <c r="D13" s="134"/>
      <c r="E13" s="534">
        <f>E12+C13</f>
        <v>-115189487.63098757</v>
      </c>
      <c r="F13" s="671">
        <f>C13</f>
        <v>69915446.112585708</v>
      </c>
      <c r="G13" s="674">
        <f>J12*$J$4</f>
        <v>5464297.6441102838</v>
      </c>
      <c r="H13" s="674">
        <f>I13-G13</f>
        <v>14345746.316033512</v>
      </c>
      <c r="I13" s="674">
        <f>PMT(J4,10,-J12,,0)</f>
        <v>19810043.960143797</v>
      </c>
      <c r="J13" s="678">
        <f>J12-H13</f>
        <v>152248694.05318245</v>
      </c>
      <c r="K13" s="349"/>
      <c r="L13" s="683">
        <f>M13+K12</f>
        <v>25764103.36516203</v>
      </c>
      <c r="M13" s="684">
        <f>F13-I13</f>
        <v>50105402.152441911</v>
      </c>
    </row>
    <row r="14" spans="2:19" x14ac:dyDescent="0.25">
      <c r="B14" s="635">
        <v>2020</v>
      </c>
      <c r="C14" s="142">
        <f>'Análisis Econ CCGT Nuevo'!U7</f>
        <v>70685571.384022668</v>
      </c>
      <c r="D14" s="134"/>
      <c r="E14" s="534">
        <f t="shared" ref="E14:E29" si="0">E13+C14</f>
        <v>-44503916.246964902</v>
      </c>
      <c r="F14" s="672">
        <f t="shared" ref="F14:F29" si="1">C14</f>
        <v>70685571.384022668</v>
      </c>
      <c r="G14" s="675">
        <f t="shared" ref="G14:G22" si="2">J13*$J$4</f>
        <v>4993757.1649443852</v>
      </c>
      <c r="H14" s="675">
        <f>I14-G14</f>
        <v>14816286.795199413</v>
      </c>
      <c r="I14" s="675">
        <f>I13</f>
        <v>19810043.960143797</v>
      </c>
      <c r="J14" s="679">
        <f t="shared" ref="J14:J22" si="3">J13-H14</f>
        <v>137432407.25798303</v>
      </c>
      <c r="K14" s="605"/>
      <c r="L14" s="685">
        <f>L13+M14</f>
        <v>76639630.789040893</v>
      </c>
      <c r="M14" s="686">
        <f t="shared" ref="M14:M29" si="4">F14-I14</f>
        <v>50875527.423878871</v>
      </c>
      <c r="O14" s="543" t="s">
        <v>258</v>
      </c>
      <c r="P14" s="524" t="s">
        <v>246</v>
      </c>
      <c r="Q14" s="524" t="s">
        <v>247</v>
      </c>
      <c r="R14" s="524" t="s">
        <v>248</v>
      </c>
    </row>
    <row r="15" spans="2:19" x14ac:dyDescent="0.25">
      <c r="B15" s="595">
        <v>2021</v>
      </c>
      <c r="C15" s="142">
        <f>'Análisis Econ CCGT Nuevo'!U8</f>
        <v>71493715.894996464</v>
      </c>
      <c r="D15" s="134"/>
      <c r="E15" s="535">
        <f t="shared" si="0"/>
        <v>26989799.648031563</v>
      </c>
      <c r="F15" s="671">
        <f t="shared" si="1"/>
        <v>71493715.894996464</v>
      </c>
      <c r="G15" s="674">
        <f t="shared" si="2"/>
        <v>4507782.9580618441</v>
      </c>
      <c r="H15" s="674">
        <f t="shared" ref="H15:H22" si="5">I15-G15</f>
        <v>15302261.002081953</v>
      </c>
      <c r="I15" s="674">
        <f t="shared" ref="I15:I22" si="6">I14</f>
        <v>19810043.960143797</v>
      </c>
      <c r="J15" s="678">
        <f t="shared" si="3"/>
        <v>122130146.25590107</v>
      </c>
      <c r="K15" s="349"/>
      <c r="L15" s="683">
        <f t="shared" ref="L15:L29" si="7">L14+M15</f>
        <v>128323302.72389355</v>
      </c>
      <c r="M15" s="684">
        <f t="shared" si="4"/>
        <v>51683671.934852667</v>
      </c>
      <c r="O15" s="260" t="s">
        <v>48</v>
      </c>
      <c r="P15" s="523">
        <v>0.12</v>
      </c>
      <c r="Q15" s="528">
        <v>0.12</v>
      </c>
      <c r="R15" s="528">
        <v>0.12</v>
      </c>
    </row>
    <row r="16" spans="2:19" x14ac:dyDescent="0.25">
      <c r="B16" s="635">
        <v>2022</v>
      </c>
      <c r="C16" s="142">
        <f>'Análisis Econ CCGT Nuevo'!U9</f>
        <v>72333189.150570974</v>
      </c>
      <c r="D16" s="134"/>
      <c r="E16" s="512">
        <f t="shared" si="0"/>
        <v>99322988.798602536</v>
      </c>
      <c r="F16" s="672">
        <f t="shared" si="1"/>
        <v>72333189.150570974</v>
      </c>
      <c r="G16" s="675">
        <f t="shared" si="2"/>
        <v>4005868.7971935552</v>
      </c>
      <c r="H16" s="675">
        <f t="shared" si="5"/>
        <v>15804175.162950242</v>
      </c>
      <c r="I16" s="675">
        <f t="shared" si="6"/>
        <v>19810043.960143797</v>
      </c>
      <c r="J16" s="679">
        <f t="shared" si="3"/>
        <v>106325971.09295082</v>
      </c>
      <c r="K16" s="605"/>
      <c r="L16" s="685">
        <f t="shared" si="7"/>
        <v>180846447.91432074</v>
      </c>
      <c r="M16" s="686">
        <f t="shared" si="4"/>
        <v>52523145.190427177</v>
      </c>
      <c r="O16" s="260" t="s">
        <v>22</v>
      </c>
      <c r="P16" s="524">
        <v>17</v>
      </c>
      <c r="Q16" s="524">
        <v>17</v>
      </c>
      <c r="R16" s="524">
        <v>17</v>
      </c>
    </row>
    <row r="17" spans="2:18" x14ac:dyDescent="0.25">
      <c r="B17" s="595">
        <v>2023</v>
      </c>
      <c r="C17" s="142">
        <f>'Análisis Econ CCGT Nuevo'!U10</f>
        <v>73219414.655781239</v>
      </c>
      <c r="D17" s="134"/>
      <c r="E17" s="512">
        <f t="shared" si="0"/>
        <v>172542403.45438379</v>
      </c>
      <c r="F17" s="671">
        <f t="shared" si="1"/>
        <v>73219414.655781239</v>
      </c>
      <c r="G17" s="674">
        <f t="shared" si="2"/>
        <v>3487491.8518487872</v>
      </c>
      <c r="H17" s="674">
        <f t="shared" si="5"/>
        <v>16322552.10829501</v>
      </c>
      <c r="I17" s="674">
        <f t="shared" si="6"/>
        <v>19810043.960143797</v>
      </c>
      <c r="J17" s="678">
        <f t="shared" si="3"/>
        <v>90003418.984655812</v>
      </c>
      <c r="K17" s="349"/>
      <c r="L17" s="683">
        <f t="shared" si="7"/>
        <v>234255818.60995817</v>
      </c>
      <c r="M17" s="684">
        <f t="shared" si="4"/>
        <v>53409370.695637442</v>
      </c>
      <c r="O17" s="514" t="s">
        <v>244</v>
      </c>
      <c r="P17" s="525">
        <f>'Análisis Econ CCGT Nuevo (2)'!AN47</f>
        <v>260349268.78206596</v>
      </c>
      <c r="Q17" s="529">
        <v>214160906.98830873</v>
      </c>
      <c r="R17" s="529">
        <v>193626110.85396418</v>
      </c>
    </row>
    <row r="18" spans="2:18" x14ac:dyDescent="0.25">
      <c r="B18" s="635">
        <v>2024</v>
      </c>
      <c r="C18" s="142">
        <f>'Análisis Econ CCGT Nuevo'!U11</f>
        <v>74119701.840575278</v>
      </c>
      <c r="D18" s="134"/>
      <c r="E18" s="512">
        <f t="shared" si="0"/>
        <v>246662105.29495907</v>
      </c>
      <c r="F18" s="672">
        <f t="shared" si="1"/>
        <v>74119701.840575278</v>
      </c>
      <c r="G18" s="675">
        <f t="shared" si="2"/>
        <v>2952112.1426967108</v>
      </c>
      <c r="H18" s="675">
        <f t="shared" si="5"/>
        <v>16857931.817447085</v>
      </c>
      <c r="I18" s="675">
        <f t="shared" si="6"/>
        <v>19810043.960143797</v>
      </c>
      <c r="J18" s="679">
        <f t="shared" si="3"/>
        <v>73145487.167208731</v>
      </c>
      <c r="K18" s="605"/>
      <c r="L18" s="685">
        <f t="shared" si="7"/>
        <v>288565476.49038965</v>
      </c>
      <c r="M18" s="686">
        <f t="shared" si="4"/>
        <v>54309657.880431481</v>
      </c>
      <c r="O18" s="260" t="s">
        <v>94</v>
      </c>
      <c r="P18" s="525">
        <f>'Análisis Econ CCGT Nuevo (2)'!AN48</f>
        <v>75244335.03849268</v>
      </c>
      <c r="Q18" s="529">
        <v>29055973.24473545</v>
      </c>
      <c r="R18" s="529">
        <v>8521177.1103909016</v>
      </c>
    </row>
    <row r="19" spans="2:18" x14ac:dyDescent="0.25">
      <c r="B19" s="595">
        <v>2025</v>
      </c>
      <c r="C19" s="142">
        <f>'Análisis Econ CCGT Nuevo'!U12</f>
        <v>74989410.583253875</v>
      </c>
      <c r="D19" s="134"/>
      <c r="E19" s="512">
        <f t="shared" si="0"/>
        <v>321651515.87821293</v>
      </c>
      <c r="F19" s="671">
        <f t="shared" si="1"/>
        <v>74989410.583253875</v>
      </c>
      <c r="G19" s="674">
        <f t="shared" si="2"/>
        <v>2399171.9790844466</v>
      </c>
      <c r="H19" s="674">
        <f t="shared" si="5"/>
        <v>17410871.98105935</v>
      </c>
      <c r="I19" s="674">
        <f t="shared" si="6"/>
        <v>19810043.960143797</v>
      </c>
      <c r="J19" s="678">
        <f t="shared" si="3"/>
        <v>55734615.186149381</v>
      </c>
      <c r="K19" s="349"/>
      <c r="L19" s="683">
        <f t="shared" si="7"/>
        <v>343744843.1134997</v>
      </c>
      <c r="M19" s="684">
        <f t="shared" si="4"/>
        <v>55179366.623110078</v>
      </c>
      <c r="O19" s="260" t="s">
        <v>51</v>
      </c>
      <c r="P19" s="525">
        <f>'Análisis Econ CCGT Nuevo (2)'!AN49</f>
        <v>10568573.062957689</v>
      </c>
      <c r="Q19" s="529">
        <v>4081106.9164906256</v>
      </c>
      <c r="R19" s="529">
        <v>1196856.6514342735</v>
      </c>
    </row>
    <row r="20" spans="2:18" x14ac:dyDescent="0.25">
      <c r="B20" s="635">
        <v>2026</v>
      </c>
      <c r="C20" s="142">
        <f>'Análisis Econ CCGT Nuevo'!U13</f>
        <v>75877899.503209934</v>
      </c>
      <c r="D20" s="134"/>
      <c r="E20" s="512">
        <f t="shared" si="0"/>
        <v>397529415.38142288</v>
      </c>
      <c r="F20" s="672">
        <f t="shared" si="1"/>
        <v>75877899.503209934</v>
      </c>
      <c r="G20" s="675">
        <f t="shared" si="2"/>
        <v>1828095.3781056998</v>
      </c>
      <c r="H20" s="675">
        <f t="shared" si="5"/>
        <v>17981948.582038097</v>
      </c>
      <c r="I20" s="675">
        <f t="shared" si="6"/>
        <v>19810043.960143797</v>
      </c>
      <c r="J20" s="679">
        <f t="shared" si="3"/>
        <v>37752666.604111284</v>
      </c>
      <c r="K20" s="605"/>
      <c r="L20" s="685">
        <f t="shared" si="7"/>
        <v>399812698.65656585</v>
      </c>
      <c r="M20" s="686">
        <f t="shared" si="4"/>
        <v>56067855.543066137</v>
      </c>
      <c r="O20" s="260" t="s">
        <v>52</v>
      </c>
      <c r="P20" s="527">
        <f>'Análisis Econ CCGT Nuevo (2)'!AN50</f>
        <v>1.4064955672263657</v>
      </c>
      <c r="Q20" s="527">
        <v>1.1569702798142962</v>
      </c>
      <c r="R20" s="527">
        <v>1.0460343057208585</v>
      </c>
    </row>
    <row r="21" spans="2:18" x14ac:dyDescent="0.25">
      <c r="B21" s="595">
        <v>2027</v>
      </c>
      <c r="C21" s="142">
        <f>'Análisis Econ CCGT Nuevo'!U14</f>
        <v>76939902.507622674</v>
      </c>
      <c r="D21" s="134"/>
      <c r="E21" s="512">
        <f t="shared" si="0"/>
        <v>474469317.88904554</v>
      </c>
      <c r="F21" s="671">
        <f t="shared" si="1"/>
        <v>76939902.507622674</v>
      </c>
      <c r="G21" s="674">
        <f t="shared" si="2"/>
        <v>1238287.4646148502</v>
      </c>
      <c r="H21" s="674">
        <f t="shared" si="5"/>
        <v>18571756.495528948</v>
      </c>
      <c r="I21" s="674">
        <f t="shared" si="6"/>
        <v>19810043.960143797</v>
      </c>
      <c r="J21" s="678">
        <f t="shared" si="3"/>
        <v>19180910.108582336</v>
      </c>
      <c r="K21" s="349"/>
      <c r="L21" s="683">
        <f t="shared" si="7"/>
        <v>456942557.2040447</v>
      </c>
      <c r="M21" s="684">
        <f t="shared" si="4"/>
        <v>57129858.547478877</v>
      </c>
      <c r="O21" s="260" t="s">
        <v>53</v>
      </c>
      <c r="P21" s="526">
        <f>'Análisis Econ CCGT Nuevo (2)'!AN51</f>
        <v>0.16411957013962386</v>
      </c>
      <c r="Q21" s="526">
        <v>0.13703407809292378</v>
      </c>
      <c r="R21" s="528">
        <v>0.12489253684853008</v>
      </c>
    </row>
    <row r="22" spans="2:18" x14ac:dyDescent="0.25">
      <c r="B22" s="635">
        <v>2028</v>
      </c>
      <c r="C22" s="142">
        <f>'Análisis Econ CCGT Nuevo'!U15</f>
        <v>77791140.860475108</v>
      </c>
      <c r="D22" s="134"/>
      <c r="E22" s="512">
        <f t="shared" si="0"/>
        <v>552260458.74952066</v>
      </c>
      <c r="F22" s="672">
        <f t="shared" si="1"/>
        <v>77791140.860475108</v>
      </c>
      <c r="G22" s="675">
        <f t="shared" si="2"/>
        <v>629133.85156150069</v>
      </c>
      <c r="H22" s="675">
        <f t="shared" si="5"/>
        <v>19180910.108582295</v>
      </c>
      <c r="I22" s="675">
        <f t="shared" si="6"/>
        <v>19810043.960143797</v>
      </c>
      <c r="J22" s="679">
        <f t="shared" si="3"/>
        <v>4.0978193283081055E-8</v>
      </c>
      <c r="K22" s="605"/>
      <c r="L22" s="685">
        <f t="shared" si="7"/>
        <v>514923654.10437602</v>
      </c>
      <c r="M22" s="686">
        <f t="shared" si="4"/>
        <v>57981096.900331311</v>
      </c>
      <c r="O22" s="260" t="s">
        <v>54</v>
      </c>
      <c r="P22" s="526">
        <f>'Análisis Econ CCGT Nuevo (2)'!AN52</f>
        <v>0.14269951829347427</v>
      </c>
      <c r="Q22" s="526">
        <v>0.12964727268608311</v>
      </c>
      <c r="R22" s="528">
        <v>0.12296904027614342</v>
      </c>
    </row>
    <row r="23" spans="2:18" x14ac:dyDescent="0.25">
      <c r="B23" s="595">
        <v>2029</v>
      </c>
      <c r="C23" s="142">
        <f>'Análisis Econ CCGT Nuevo'!U16</f>
        <v>78753224.792371258</v>
      </c>
      <c r="D23" s="134"/>
      <c r="E23" s="512">
        <f t="shared" si="0"/>
        <v>631013683.54189193</v>
      </c>
      <c r="F23" s="671">
        <f t="shared" si="1"/>
        <v>78753224.792371258</v>
      </c>
      <c r="G23" s="530"/>
      <c r="H23" s="676">
        <f>SUM(H13:H22)</f>
        <v>166594440.36921591</v>
      </c>
      <c r="I23" s="530"/>
      <c r="J23" s="531"/>
      <c r="K23" s="349"/>
      <c r="L23" s="683">
        <f t="shared" si="7"/>
        <v>593676878.89674723</v>
      </c>
      <c r="M23" s="684">
        <f t="shared" si="4"/>
        <v>78753224.792371258</v>
      </c>
      <c r="O23" s="260" t="s">
        <v>56</v>
      </c>
      <c r="P23" s="527">
        <f>'Análisis Econ CCGT Nuevo (2)'!AN53</f>
        <v>7.3426617690823432</v>
      </c>
      <c r="Q23" s="527">
        <v>8.4476829887717333</v>
      </c>
      <c r="R23" s="527">
        <v>9.2237168559042377</v>
      </c>
    </row>
    <row r="24" spans="2:18" x14ac:dyDescent="0.25">
      <c r="B24" s="635">
        <v>2030</v>
      </c>
      <c r="C24" s="142">
        <f>'Análisis Econ CCGT Nuevo'!U17</f>
        <v>79675292.07939294</v>
      </c>
      <c r="D24" s="134"/>
      <c r="E24" s="512">
        <f t="shared" si="0"/>
        <v>710688975.62128484</v>
      </c>
      <c r="F24" s="672">
        <f t="shared" si="1"/>
        <v>79675292.07939294</v>
      </c>
      <c r="G24" s="603"/>
      <c r="H24" s="603"/>
      <c r="I24" s="603"/>
      <c r="J24" s="604"/>
      <c r="K24" s="605"/>
      <c r="L24" s="685">
        <f t="shared" si="7"/>
        <v>673352170.97614014</v>
      </c>
      <c r="M24" s="686">
        <f t="shared" si="4"/>
        <v>79675292.07939294</v>
      </c>
    </row>
    <row r="25" spans="2:18" x14ac:dyDescent="0.25">
      <c r="B25" s="595">
        <v>2031</v>
      </c>
      <c r="C25" s="142">
        <f>'Análisis Econ CCGT Nuevo'!U18</f>
        <v>80619167.152236879</v>
      </c>
      <c r="D25" s="134"/>
      <c r="E25" s="512">
        <f t="shared" si="0"/>
        <v>791308142.77352166</v>
      </c>
      <c r="F25" s="671">
        <f t="shared" si="1"/>
        <v>80619167.152236879</v>
      </c>
      <c r="G25" s="530"/>
      <c r="H25" s="530"/>
      <c r="I25" s="530"/>
      <c r="J25" s="531"/>
      <c r="K25" s="349"/>
      <c r="L25" s="683">
        <f t="shared" si="7"/>
        <v>753971338.12837696</v>
      </c>
      <c r="M25" s="684">
        <f t="shared" si="4"/>
        <v>80619167.152236879</v>
      </c>
    </row>
    <row r="26" spans="2:18" x14ac:dyDescent="0.25">
      <c r="B26" s="635">
        <v>2032</v>
      </c>
      <c r="C26" s="142">
        <f>'Análisis Econ CCGT Nuevo'!U19</f>
        <v>81554167.279586628</v>
      </c>
      <c r="D26" s="134"/>
      <c r="E26" s="512">
        <f t="shared" si="0"/>
        <v>872862310.05310833</v>
      </c>
      <c r="F26" s="672">
        <f t="shared" si="1"/>
        <v>81554167.279586628</v>
      </c>
      <c r="G26" s="603"/>
      <c r="H26" s="603"/>
      <c r="I26" s="603"/>
      <c r="J26" s="604"/>
      <c r="K26" s="605"/>
      <c r="L26" s="685">
        <f t="shared" si="7"/>
        <v>835525505.40796363</v>
      </c>
      <c r="M26" s="686">
        <f t="shared" si="4"/>
        <v>81554167.279586628</v>
      </c>
    </row>
    <row r="27" spans="2:18" x14ac:dyDescent="0.25">
      <c r="B27" s="595">
        <v>2033</v>
      </c>
      <c r="C27" s="142">
        <f>'Análisis Econ CCGT Nuevo'!U20</f>
        <v>82626472.497058108</v>
      </c>
      <c r="D27" s="134"/>
      <c r="E27" s="512">
        <f t="shared" si="0"/>
        <v>955488782.55016649</v>
      </c>
      <c r="F27" s="671">
        <f t="shared" si="1"/>
        <v>82626472.497058108</v>
      </c>
      <c r="G27" s="530"/>
      <c r="H27" s="530"/>
      <c r="I27" s="530"/>
      <c r="J27" s="531"/>
      <c r="K27" s="349"/>
      <c r="L27" s="683">
        <f t="shared" si="7"/>
        <v>918151977.90502179</v>
      </c>
      <c r="M27" s="684">
        <f t="shared" si="4"/>
        <v>82626472.497058108</v>
      </c>
    </row>
    <row r="28" spans="2:18" x14ac:dyDescent="0.25">
      <c r="B28" s="635">
        <v>2034</v>
      </c>
      <c r="C28" s="142">
        <f>'Análisis Econ CCGT Nuevo'!U21</f>
        <v>83631845.608258769</v>
      </c>
      <c r="D28" s="134"/>
      <c r="E28" s="512">
        <f t="shared" si="0"/>
        <v>1039120628.1584252</v>
      </c>
      <c r="F28" s="672">
        <f t="shared" si="1"/>
        <v>83631845.608258769</v>
      </c>
      <c r="G28" s="603"/>
      <c r="H28" s="603"/>
      <c r="I28" s="603"/>
      <c r="J28" s="604"/>
      <c r="K28" s="605"/>
      <c r="L28" s="685">
        <f t="shared" si="7"/>
        <v>1001783823.5132805</v>
      </c>
      <c r="M28" s="686">
        <f t="shared" si="4"/>
        <v>83631845.608258769</v>
      </c>
    </row>
    <row r="29" spans="2:18" x14ac:dyDescent="0.25">
      <c r="B29" s="182">
        <v>2035</v>
      </c>
      <c r="C29" s="148">
        <f>'Análisis Econ CCGT Nuevo'!U22</f>
        <v>84710632.083681047</v>
      </c>
      <c r="D29" s="130"/>
      <c r="E29" s="513">
        <f t="shared" si="0"/>
        <v>1123831260.2421062</v>
      </c>
      <c r="F29" s="673">
        <f t="shared" si="1"/>
        <v>84710632.083681047</v>
      </c>
      <c r="G29" s="532"/>
      <c r="H29" s="532"/>
      <c r="I29" s="532"/>
      <c r="J29" s="533"/>
      <c r="K29" s="350"/>
      <c r="L29" s="687">
        <f t="shared" si="7"/>
        <v>1086494455.5969615</v>
      </c>
      <c r="M29" s="688">
        <f t="shared" si="4"/>
        <v>84710632.083681047</v>
      </c>
    </row>
    <row r="30" spans="2:18" x14ac:dyDescent="0.25">
      <c r="B30" s="184"/>
      <c r="C30" s="185">
        <f>NPV(E3,C13:C29)</f>
        <v>531417763.29455149</v>
      </c>
      <c r="D30" s="122"/>
      <c r="E30" s="186"/>
      <c r="F30" s="201"/>
      <c r="G30" s="122"/>
      <c r="H30" s="122"/>
      <c r="I30" s="122"/>
      <c r="J30" s="202" t="s">
        <v>96</v>
      </c>
      <c r="K30" s="122"/>
      <c r="L30" s="122"/>
      <c r="M30" s="203">
        <f>NPV(E3,M13:M29)</f>
        <v>419486596.71711534</v>
      </c>
    </row>
    <row r="31" spans="2:18" ht="15.75" thickBot="1" x14ac:dyDescent="0.3">
      <c r="B31" s="187"/>
      <c r="C31" s="188">
        <f>C30+D12</f>
        <v>346312829.55097818</v>
      </c>
      <c r="D31" s="189"/>
      <c r="E31" s="190"/>
      <c r="F31" s="204"/>
      <c r="G31" s="189"/>
      <c r="H31" s="189"/>
      <c r="I31" s="189"/>
      <c r="J31" s="205" t="s">
        <v>95</v>
      </c>
      <c r="K31" s="205"/>
      <c r="L31" s="205"/>
      <c r="M31" s="206">
        <f>M30+K12</f>
        <v>395145297.92983544</v>
      </c>
    </row>
    <row r="33" spans="2:13" ht="15.75" thickBot="1" x14ac:dyDescent="0.3">
      <c r="M33" s="289"/>
    </row>
    <row r="34" spans="2:13" x14ac:dyDescent="0.25">
      <c r="B34" s="806" t="s">
        <v>119</v>
      </c>
      <c r="C34" s="807"/>
      <c r="D34" s="807"/>
      <c r="E34" s="808"/>
      <c r="F34" s="809" t="s">
        <v>241</v>
      </c>
      <c r="G34" s="810"/>
      <c r="H34" s="810"/>
      <c r="I34" s="810"/>
      <c r="J34" s="810"/>
      <c r="K34" s="810"/>
      <c r="L34" s="810"/>
      <c r="M34" s="811"/>
    </row>
    <row r="35" spans="2:13" x14ac:dyDescent="0.25">
      <c r="B35" s="812" t="s">
        <v>77</v>
      </c>
      <c r="C35" s="788" t="s">
        <v>226</v>
      </c>
      <c r="D35" s="814" t="s">
        <v>79</v>
      </c>
      <c r="E35" s="796">
        <v>0.12</v>
      </c>
      <c r="F35" s="816" t="s">
        <v>80</v>
      </c>
      <c r="G35" s="117"/>
      <c r="H35" s="118"/>
      <c r="I35" s="118"/>
      <c r="J35" s="119"/>
      <c r="K35" s="818">
        <f>(1-H37)*D44</f>
        <v>-18510493.374357324</v>
      </c>
      <c r="L35" s="117" t="s">
        <v>242</v>
      </c>
      <c r="M35" s="194">
        <v>150</v>
      </c>
    </row>
    <row r="36" spans="2:13" x14ac:dyDescent="0.25">
      <c r="B36" s="813"/>
      <c r="C36" s="789"/>
      <c r="D36" s="815"/>
      <c r="E36" s="797"/>
      <c r="F36" s="817"/>
      <c r="G36" s="120" t="s">
        <v>81</v>
      </c>
      <c r="H36" s="122"/>
      <c r="I36" s="122"/>
      <c r="J36" s="508">
        <f>$M$36+M35/10000</f>
        <v>3.8400000000000004E-2</v>
      </c>
      <c r="K36" s="819"/>
      <c r="L36" s="124" t="s">
        <v>243</v>
      </c>
      <c r="M36" s="510">
        <v>2.3400000000000001E-2</v>
      </c>
    </row>
    <row r="37" spans="2:13" x14ac:dyDescent="0.25">
      <c r="B37" s="813"/>
      <c r="C37" s="789"/>
      <c r="D37" s="126"/>
      <c r="E37" s="804" t="s">
        <v>82</v>
      </c>
      <c r="F37" s="192">
        <v>0.02</v>
      </c>
      <c r="G37" s="120" t="s">
        <v>83</v>
      </c>
      <c r="H37" s="127">
        <v>0.9</v>
      </c>
      <c r="I37" s="128">
        <f>H37*D44</f>
        <v>-166594440.36921597</v>
      </c>
      <c r="J37" s="129"/>
      <c r="K37" s="820"/>
      <c r="L37" s="778" t="s">
        <v>55</v>
      </c>
      <c r="M37" s="823" t="s">
        <v>78</v>
      </c>
    </row>
    <row r="38" spans="2:13" x14ac:dyDescent="0.25">
      <c r="B38" s="175" t="s">
        <v>85</v>
      </c>
      <c r="C38" s="790"/>
      <c r="D38" s="130"/>
      <c r="E38" s="805"/>
      <c r="F38" s="182" t="s">
        <v>86</v>
      </c>
      <c r="G38" s="131" t="s">
        <v>87</v>
      </c>
      <c r="H38" s="132" t="s">
        <v>88</v>
      </c>
      <c r="I38" s="132" t="s">
        <v>89</v>
      </c>
      <c r="J38" s="133" t="s">
        <v>90</v>
      </c>
      <c r="K38" s="821"/>
      <c r="L38" s="822"/>
      <c r="M38" s="824"/>
    </row>
    <row r="39" spans="2:13" x14ac:dyDescent="0.25">
      <c r="B39" s="176">
        <v>-5</v>
      </c>
      <c r="C39" s="126"/>
      <c r="D39" s="126"/>
      <c r="E39" s="177"/>
      <c r="F39" s="193"/>
      <c r="G39" s="118"/>
      <c r="H39" s="118"/>
      <c r="I39" s="118"/>
      <c r="J39" s="119"/>
      <c r="K39" s="126"/>
      <c r="L39" s="117"/>
      <c r="M39" s="194"/>
    </row>
    <row r="40" spans="2:13" x14ac:dyDescent="0.25">
      <c r="B40" s="175">
        <v>-4</v>
      </c>
      <c r="C40" s="134"/>
      <c r="D40" s="134"/>
      <c r="E40" s="178"/>
      <c r="F40" s="195">
        <f>I37*F37*-1</f>
        <v>3331888.8073843196</v>
      </c>
      <c r="G40" s="122"/>
      <c r="H40" s="135" t="s">
        <v>97</v>
      </c>
      <c r="I40" s="122"/>
      <c r="J40" s="121"/>
      <c r="K40" s="134"/>
      <c r="L40" s="120"/>
      <c r="M40" s="186"/>
    </row>
    <row r="41" spans="2:13" x14ac:dyDescent="0.25">
      <c r="B41" s="175">
        <v>-3</v>
      </c>
      <c r="C41" s="134"/>
      <c r="D41" s="134"/>
      <c r="E41" s="178"/>
      <c r="F41" s="195">
        <f>I37*G41*-1</f>
        <v>1665944.4036921598</v>
      </c>
      <c r="G41" s="136">
        <v>0.01</v>
      </c>
      <c r="H41" s="122" t="s">
        <v>92</v>
      </c>
      <c r="I41" s="122"/>
      <c r="J41" s="121"/>
      <c r="K41" s="134"/>
      <c r="L41" s="120"/>
      <c r="M41" s="186"/>
    </row>
    <row r="42" spans="2:13" x14ac:dyDescent="0.25">
      <c r="B42" s="175">
        <v>-2</v>
      </c>
      <c r="C42" s="134"/>
      <c r="D42" s="134"/>
      <c r="E42" s="178"/>
      <c r="F42" s="196">
        <f>I37*G42*-1</f>
        <v>832972.2018460799</v>
      </c>
      <c r="G42" s="137">
        <v>5.0000000000000001E-3</v>
      </c>
      <c r="H42" s="122" t="s">
        <v>93</v>
      </c>
      <c r="I42" s="122"/>
      <c r="J42" s="121"/>
      <c r="K42" s="134"/>
      <c r="L42" s="120"/>
      <c r="M42" s="186"/>
    </row>
    <row r="43" spans="2:13" x14ac:dyDescent="0.25">
      <c r="B43" s="175">
        <v>-1</v>
      </c>
      <c r="C43" s="134"/>
      <c r="D43" s="134"/>
      <c r="E43" s="178"/>
      <c r="F43" s="197"/>
      <c r="G43" s="138"/>
      <c r="H43" s="138"/>
      <c r="I43" s="138"/>
      <c r="J43" s="125"/>
      <c r="K43" s="130"/>
      <c r="L43" s="120"/>
      <c r="M43" s="191"/>
    </row>
    <row r="44" spans="2:13" x14ac:dyDescent="0.25">
      <c r="B44" s="416">
        <v>2018</v>
      </c>
      <c r="C44" s="134"/>
      <c r="D44" s="335">
        <f>'Análisis Econ CCGT Nuevo'!U5</f>
        <v>-185104933.74357328</v>
      </c>
      <c r="E44" s="336">
        <f>D44</f>
        <v>-185104933.74357328</v>
      </c>
      <c r="F44" s="337">
        <f>E44</f>
        <v>-185104933.74357328</v>
      </c>
      <c r="G44" s="338"/>
      <c r="H44" s="338"/>
      <c r="I44" s="338"/>
      <c r="J44" s="339">
        <f>I37*-1</f>
        <v>166594440.36921597</v>
      </c>
      <c r="K44" s="348">
        <f>K35-(F40+F41+F42)</f>
        <v>-24341298.787279882</v>
      </c>
      <c r="L44" s="504">
        <f>K44</f>
        <v>-24341298.787279882</v>
      </c>
      <c r="M44" s="507">
        <f>K44</f>
        <v>-24341298.787279882</v>
      </c>
    </row>
    <row r="45" spans="2:13" x14ac:dyDescent="0.25">
      <c r="B45" s="416">
        <v>2019</v>
      </c>
      <c r="C45" s="142">
        <f>'Análisis Econ CCGT Nuevo'!U6</f>
        <v>69915446.112585708</v>
      </c>
      <c r="D45" s="134"/>
      <c r="E45" s="336">
        <f>E44+C45</f>
        <v>-115189487.63098757</v>
      </c>
      <c r="F45" s="340">
        <f>C45</f>
        <v>69915446.112585708</v>
      </c>
      <c r="G45" s="341">
        <f>J44*$J$36</f>
        <v>6397226.5101778936</v>
      </c>
      <c r="H45" s="341">
        <f>I45-G45</f>
        <v>13979088.203916976</v>
      </c>
      <c r="I45" s="341">
        <f>PMT(J36,10,-J44,,0)</f>
        <v>20376314.71409487</v>
      </c>
      <c r="J45" s="342">
        <f>J44-H45</f>
        <v>152615352.165299</v>
      </c>
      <c r="K45" s="349"/>
      <c r="L45" s="505">
        <f>M45+K44</f>
        <v>25197832.611210957</v>
      </c>
      <c r="M45" s="343">
        <f>F45-I45</f>
        <v>49539131.398490839</v>
      </c>
    </row>
    <row r="46" spans="2:13" x14ac:dyDescent="0.25">
      <c r="B46" s="416">
        <v>2020</v>
      </c>
      <c r="C46" s="142">
        <f>'Análisis Econ CCGT Nuevo'!U7</f>
        <v>70685571.384022668</v>
      </c>
      <c r="D46" s="134"/>
      <c r="E46" s="336">
        <f t="shared" ref="E46:E61" si="8">E45+C46</f>
        <v>-44503916.246964902</v>
      </c>
      <c r="F46" s="340">
        <f t="shared" ref="F46:F61" si="9">C46</f>
        <v>70685571.384022668</v>
      </c>
      <c r="G46" s="341">
        <f t="shared" ref="G46:G54" si="10">J45*$J$36</f>
        <v>5860429.5231474824</v>
      </c>
      <c r="H46" s="341">
        <f>I46-G46</f>
        <v>14515885.190947387</v>
      </c>
      <c r="I46" s="341">
        <f>I45</f>
        <v>20376314.71409487</v>
      </c>
      <c r="J46" s="342">
        <f t="shared" ref="J46:J53" si="11">J45-H46</f>
        <v>138099466.97435161</v>
      </c>
      <c r="K46" s="349"/>
      <c r="L46" s="505">
        <f>L45+M46</f>
        <v>75507089.281138748</v>
      </c>
      <c r="M46" s="343">
        <f t="shared" ref="M46:M61" si="12">F46-I46</f>
        <v>50309256.669927798</v>
      </c>
    </row>
    <row r="47" spans="2:13" x14ac:dyDescent="0.25">
      <c r="B47" s="416">
        <v>2021</v>
      </c>
      <c r="C47" s="142">
        <f>'Análisis Econ CCGT Nuevo'!U8</f>
        <v>71493715.894996464</v>
      </c>
      <c r="D47" s="134"/>
      <c r="E47" s="480">
        <f t="shared" si="8"/>
        <v>26989799.648031563</v>
      </c>
      <c r="F47" s="340">
        <f t="shared" si="9"/>
        <v>71493715.894996464</v>
      </c>
      <c r="G47" s="341">
        <f t="shared" si="10"/>
        <v>5303019.5318151023</v>
      </c>
      <c r="H47" s="341">
        <f t="shared" ref="H47:H54" si="13">I47-G47</f>
        <v>15073295.182279767</v>
      </c>
      <c r="I47" s="341">
        <f t="shared" ref="I47:I54" si="14">I46</f>
        <v>20376314.71409487</v>
      </c>
      <c r="J47" s="342">
        <f t="shared" si="11"/>
        <v>123026171.79207185</v>
      </c>
      <c r="K47" s="349"/>
      <c r="L47" s="505">
        <f t="shared" ref="L47:L61" si="15">L46+M47</f>
        <v>126624490.46204033</v>
      </c>
      <c r="M47" s="343">
        <f t="shared" si="12"/>
        <v>51117401.180901594</v>
      </c>
    </row>
    <row r="48" spans="2:13" x14ac:dyDescent="0.25">
      <c r="B48" s="416">
        <v>2022</v>
      </c>
      <c r="C48" s="142">
        <f>'Análisis Econ CCGT Nuevo'!U9</f>
        <v>72333189.150570974</v>
      </c>
      <c r="D48" s="134"/>
      <c r="E48" s="343">
        <f t="shared" si="8"/>
        <v>99322988.798602536</v>
      </c>
      <c r="F48" s="340">
        <f t="shared" si="9"/>
        <v>72333189.150570974</v>
      </c>
      <c r="G48" s="341">
        <f t="shared" si="10"/>
        <v>4724204.9968155595</v>
      </c>
      <c r="H48" s="341">
        <f t="shared" si="13"/>
        <v>15652109.717279311</v>
      </c>
      <c r="I48" s="341">
        <f t="shared" si="14"/>
        <v>20376314.71409487</v>
      </c>
      <c r="J48" s="342">
        <f t="shared" si="11"/>
        <v>107374062.07479253</v>
      </c>
      <c r="K48" s="349"/>
      <c r="L48" s="505">
        <f t="shared" si="15"/>
        <v>178581364.89851645</v>
      </c>
      <c r="M48" s="343">
        <f t="shared" si="12"/>
        <v>51956874.436476104</v>
      </c>
    </row>
    <row r="49" spans="2:13" x14ac:dyDescent="0.25">
      <c r="B49" s="416">
        <v>2023</v>
      </c>
      <c r="C49" s="142">
        <f>'Análisis Econ CCGT Nuevo'!U10</f>
        <v>73219414.655781239</v>
      </c>
      <c r="D49" s="134"/>
      <c r="E49" s="343">
        <f t="shared" si="8"/>
        <v>172542403.45438379</v>
      </c>
      <c r="F49" s="340">
        <f t="shared" si="9"/>
        <v>73219414.655781239</v>
      </c>
      <c r="G49" s="341">
        <f t="shared" si="10"/>
        <v>4123163.9836720335</v>
      </c>
      <c r="H49" s="341">
        <f t="shared" si="13"/>
        <v>16253150.730422836</v>
      </c>
      <c r="I49" s="341">
        <f t="shared" si="14"/>
        <v>20376314.71409487</v>
      </c>
      <c r="J49" s="342">
        <f t="shared" si="11"/>
        <v>91120911.344369695</v>
      </c>
      <c r="K49" s="349"/>
      <c r="L49" s="505">
        <f t="shared" si="15"/>
        <v>231424464.84020281</v>
      </c>
      <c r="M49" s="343">
        <f t="shared" si="12"/>
        <v>52843099.941686369</v>
      </c>
    </row>
    <row r="50" spans="2:13" x14ac:dyDescent="0.25">
      <c r="B50" s="416">
        <v>2024</v>
      </c>
      <c r="C50" s="142">
        <f>'Análisis Econ CCGT Nuevo'!U11</f>
        <v>74119701.840575278</v>
      </c>
      <c r="D50" s="134"/>
      <c r="E50" s="343">
        <f t="shared" si="8"/>
        <v>246662105.29495907</v>
      </c>
      <c r="F50" s="340">
        <f t="shared" si="9"/>
        <v>74119701.840575278</v>
      </c>
      <c r="G50" s="341">
        <f t="shared" si="10"/>
        <v>3499042.9956237967</v>
      </c>
      <c r="H50" s="341">
        <f t="shared" si="13"/>
        <v>16877271.718471073</v>
      </c>
      <c r="I50" s="341">
        <f t="shared" si="14"/>
        <v>20376314.71409487</v>
      </c>
      <c r="J50" s="342">
        <f t="shared" si="11"/>
        <v>74243639.625898629</v>
      </c>
      <c r="K50" s="349"/>
      <c r="L50" s="505">
        <f t="shared" si="15"/>
        <v>285167851.96668321</v>
      </c>
      <c r="M50" s="343">
        <f t="shared" si="12"/>
        <v>53743387.126480408</v>
      </c>
    </row>
    <row r="51" spans="2:13" x14ac:dyDescent="0.25">
      <c r="B51" s="416">
        <v>2025</v>
      </c>
      <c r="C51" s="142">
        <f>'Análisis Econ CCGT Nuevo'!U12</f>
        <v>74989410.583253875</v>
      </c>
      <c r="D51" s="134"/>
      <c r="E51" s="343">
        <f t="shared" si="8"/>
        <v>321651515.87821293</v>
      </c>
      <c r="F51" s="340">
        <f t="shared" si="9"/>
        <v>74989410.583253875</v>
      </c>
      <c r="G51" s="341">
        <f t="shared" si="10"/>
        <v>2850955.7616345077</v>
      </c>
      <c r="H51" s="341">
        <f t="shared" si="13"/>
        <v>17525358.952460364</v>
      </c>
      <c r="I51" s="341">
        <f t="shared" si="14"/>
        <v>20376314.71409487</v>
      </c>
      <c r="J51" s="342">
        <f t="shared" si="11"/>
        <v>56718280.673438266</v>
      </c>
      <c r="K51" s="349"/>
      <c r="L51" s="505">
        <f t="shared" si="15"/>
        <v>339780947.83584219</v>
      </c>
      <c r="M51" s="343">
        <f t="shared" si="12"/>
        <v>54613095.869159006</v>
      </c>
    </row>
    <row r="52" spans="2:13" x14ac:dyDescent="0.25">
      <c r="B52" s="416">
        <v>2026</v>
      </c>
      <c r="C52" s="142">
        <f>'Análisis Econ CCGT Nuevo'!U13</f>
        <v>75877899.503209934</v>
      </c>
      <c r="D52" s="134"/>
      <c r="E52" s="343">
        <f t="shared" si="8"/>
        <v>397529415.38142288</v>
      </c>
      <c r="F52" s="340">
        <f t="shared" si="9"/>
        <v>75877899.503209934</v>
      </c>
      <c r="G52" s="341">
        <f t="shared" si="10"/>
        <v>2177981.9778600298</v>
      </c>
      <c r="H52" s="341">
        <f t="shared" si="13"/>
        <v>18198332.73623484</v>
      </c>
      <c r="I52" s="341">
        <f t="shared" si="14"/>
        <v>20376314.71409487</v>
      </c>
      <c r="J52" s="342">
        <f t="shared" si="11"/>
        <v>38519947.937203422</v>
      </c>
      <c r="K52" s="349"/>
      <c r="L52" s="505">
        <f t="shared" si="15"/>
        <v>395282532.62495726</v>
      </c>
      <c r="M52" s="343">
        <f t="shared" si="12"/>
        <v>55501584.789115064</v>
      </c>
    </row>
    <row r="53" spans="2:13" x14ac:dyDescent="0.25">
      <c r="B53" s="416">
        <v>2027</v>
      </c>
      <c r="C53" s="142">
        <f>'Análisis Econ CCGT Nuevo'!U14</f>
        <v>76939902.507622674</v>
      </c>
      <c r="D53" s="134"/>
      <c r="E53" s="343">
        <f t="shared" si="8"/>
        <v>474469317.88904554</v>
      </c>
      <c r="F53" s="340">
        <f t="shared" si="9"/>
        <v>76939902.507622674</v>
      </c>
      <c r="G53" s="341">
        <f t="shared" si="10"/>
        <v>1479166.0007886116</v>
      </c>
      <c r="H53" s="341">
        <f t="shared" si="13"/>
        <v>18897148.713306259</v>
      </c>
      <c r="I53" s="341">
        <f t="shared" si="14"/>
        <v>20376314.71409487</v>
      </c>
      <c r="J53" s="342">
        <f t="shared" si="11"/>
        <v>19622799.223897163</v>
      </c>
      <c r="K53" s="349"/>
      <c r="L53" s="505">
        <f t="shared" si="15"/>
        <v>451846120.41848505</v>
      </c>
      <c r="M53" s="343">
        <f t="shared" si="12"/>
        <v>56563587.793527804</v>
      </c>
    </row>
    <row r="54" spans="2:13" x14ac:dyDescent="0.25">
      <c r="B54" s="416">
        <v>2028</v>
      </c>
      <c r="C54" s="142">
        <f>'Análisis Econ CCGT Nuevo'!U15</f>
        <v>77791140.860475108</v>
      </c>
      <c r="D54" s="134"/>
      <c r="E54" s="343">
        <f t="shared" si="8"/>
        <v>552260458.74952066</v>
      </c>
      <c r="F54" s="340">
        <f t="shared" si="9"/>
        <v>77791140.860475108</v>
      </c>
      <c r="G54" s="341">
        <f t="shared" si="10"/>
        <v>753515.49019765109</v>
      </c>
      <c r="H54" s="341">
        <f t="shared" si="13"/>
        <v>19622799.223897219</v>
      </c>
      <c r="I54" s="341">
        <f t="shared" si="14"/>
        <v>20376314.71409487</v>
      </c>
      <c r="J54" s="342">
        <f>J53-H54</f>
        <v>-5.5879354476928711E-8</v>
      </c>
      <c r="K54" s="349"/>
      <c r="L54" s="505">
        <f t="shared" si="15"/>
        <v>509260946.56486529</v>
      </c>
      <c r="M54" s="343">
        <f t="shared" si="12"/>
        <v>57414826.146380238</v>
      </c>
    </row>
    <row r="55" spans="2:13" x14ac:dyDescent="0.25">
      <c r="B55" s="416">
        <v>2029</v>
      </c>
      <c r="C55" s="142">
        <f>'Análisis Econ CCGT Nuevo'!U16</f>
        <v>78753224.792371258</v>
      </c>
      <c r="D55" s="134"/>
      <c r="E55" s="343">
        <f t="shared" si="8"/>
        <v>631013683.54189193</v>
      </c>
      <c r="F55" s="340">
        <f t="shared" si="9"/>
        <v>78753224.792371258</v>
      </c>
      <c r="G55" s="341"/>
      <c r="H55" s="338">
        <f>SUM(H45:H54)</f>
        <v>166594440.36921605</v>
      </c>
      <c r="I55" s="341"/>
      <c r="J55" s="342"/>
      <c r="K55" s="349"/>
      <c r="L55" s="505">
        <f t="shared" si="15"/>
        <v>588014171.3572365</v>
      </c>
      <c r="M55" s="343">
        <f t="shared" si="12"/>
        <v>78753224.792371258</v>
      </c>
    </row>
    <row r="56" spans="2:13" x14ac:dyDescent="0.25">
      <c r="B56" s="416">
        <v>2030</v>
      </c>
      <c r="C56" s="142">
        <f>'Análisis Econ CCGT Nuevo'!U17</f>
        <v>79675292.07939294</v>
      </c>
      <c r="D56" s="134"/>
      <c r="E56" s="343">
        <f t="shared" si="8"/>
        <v>710688975.62128484</v>
      </c>
      <c r="F56" s="340">
        <f t="shared" si="9"/>
        <v>79675292.07939294</v>
      </c>
      <c r="G56" s="341"/>
      <c r="H56" s="341"/>
      <c r="I56" s="341"/>
      <c r="J56" s="342"/>
      <c r="K56" s="349"/>
      <c r="L56" s="505">
        <f t="shared" si="15"/>
        <v>667689463.43662941</v>
      </c>
      <c r="M56" s="343">
        <f t="shared" si="12"/>
        <v>79675292.07939294</v>
      </c>
    </row>
    <row r="57" spans="2:13" x14ac:dyDescent="0.25">
      <c r="B57" s="416">
        <v>2031</v>
      </c>
      <c r="C57" s="142">
        <f>'Análisis Econ CCGT Nuevo'!U18</f>
        <v>80619167.152236879</v>
      </c>
      <c r="D57" s="134"/>
      <c r="E57" s="343">
        <f t="shared" si="8"/>
        <v>791308142.77352166</v>
      </c>
      <c r="F57" s="340">
        <f t="shared" si="9"/>
        <v>80619167.152236879</v>
      </c>
      <c r="G57" s="341"/>
      <c r="H57" s="341"/>
      <c r="I57" s="341"/>
      <c r="J57" s="342"/>
      <c r="K57" s="349"/>
      <c r="L57" s="505">
        <f t="shared" si="15"/>
        <v>748308630.58886623</v>
      </c>
      <c r="M57" s="343">
        <f t="shared" si="12"/>
        <v>80619167.152236879</v>
      </c>
    </row>
    <row r="58" spans="2:13" x14ac:dyDescent="0.25">
      <c r="B58" s="416">
        <v>2032</v>
      </c>
      <c r="C58" s="142">
        <f>'Análisis Econ CCGT Nuevo'!U19</f>
        <v>81554167.279586628</v>
      </c>
      <c r="D58" s="134"/>
      <c r="E58" s="343">
        <f t="shared" si="8"/>
        <v>872862310.05310833</v>
      </c>
      <c r="F58" s="340">
        <f t="shared" si="9"/>
        <v>81554167.279586628</v>
      </c>
      <c r="G58" s="341"/>
      <c r="H58" s="341"/>
      <c r="I58" s="341"/>
      <c r="J58" s="342"/>
      <c r="K58" s="349"/>
      <c r="L58" s="505">
        <f t="shared" si="15"/>
        <v>829862797.86845291</v>
      </c>
      <c r="M58" s="343">
        <f t="shared" si="12"/>
        <v>81554167.279586628</v>
      </c>
    </row>
    <row r="59" spans="2:13" x14ac:dyDescent="0.25">
      <c r="B59" s="416">
        <v>2033</v>
      </c>
      <c r="C59" s="142">
        <f>'Análisis Econ CCGT Nuevo'!U20</f>
        <v>82626472.497058108</v>
      </c>
      <c r="D59" s="134"/>
      <c r="E59" s="343">
        <f t="shared" si="8"/>
        <v>955488782.55016649</v>
      </c>
      <c r="F59" s="340">
        <f t="shared" si="9"/>
        <v>82626472.497058108</v>
      </c>
      <c r="G59" s="341"/>
      <c r="H59" s="341"/>
      <c r="I59" s="341"/>
      <c r="J59" s="342"/>
      <c r="K59" s="349"/>
      <c r="L59" s="505">
        <f t="shared" si="15"/>
        <v>912489270.36551106</v>
      </c>
      <c r="M59" s="343">
        <f t="shared" si="12"/>
        <v>82626472.497058108</v>
      </c>
    </row>
    <row r="60" spans="2:13" x14ac:dyDescent="0.25">
      <c r="B60" s="416">
        <v>2034</v>
      </c>
      <c r="C60" s="142">
        <f>'Análisis Econ CCGT Nuevo'!U21</f>
        <v>83631845.608258769</v>
      </c>
      <c r="D60" s="134"/>
      <c r="E60" s="343">
        <f t="shared" si="8"/>
        <v>1039120628.1584252</v>
      </c>
      <c r="F60" s="340">
        <f t="shared" si="9"/>
        <v>83631845.608258769</v>
      </c>
      <c r="G60" s="341"/>
      <c r="H60" s="341"/>
      <c r="I60" s="341"/>
      <c r="J60" s="342"/>
      <c r="K60" s="349"/>
      <c r="L60" s="505">
        <f t="shared" si="15"/>
        <v>996121115.97376978</v>
      </c>
      <c r="M60" s="343">
        <f t="shared" si="12"/>
        <v>83631845.608258769</v>
      </c>
    </row>
    <row r="61" spans="2:13" x14ac:dyDescent="0.25">
      <c r="B61" s="182">
        <v>2035</v>
      </c>
      <c r="C61" s="148">
        <f>'Análisis Econ CCGT Nuevo'!U22</f>
        <v>84710632.083681047</v>
      </c>
      <c r="D61" s="130"/>
      <c r="E61" s="344">
        <f t="shared" si="8"/>
        <v>1123831260.2421062</v>
      </c>
      <c r="F61" s="345">
        <f t="shared" si="9"/>
        <v>84710632.083681047</v>
      </c>
      <c r="G61" s="346"/>
      <c r="H61" s="346"/>
      <c r="I61" s="346"/>
      <c r="J61" s="347"/>
      <c r="K61" s="350"/>
      <c r="L61" s="506">
        <f t="shared" si="15"/>
        <v>1080831748.0574508</v>
      </c>
      <c r="M61" s="344">
        <f t="shared" si="12"/>
        <v>84710632.083681047</v>
      </c>
    </row>
    <row r="62" spans="2:13" x14ac:dyDescent="0.25">
      <c r="B62" s="184" t="s">
        <v>96</v>
      </c>
      <c r="C62" s="185">
        <f>NPV(E35,C45:C61)</f>
        <v>531417763.29455149</v>
      </c>
      <c r="D62" s="122"/>
      <c r="E62" s="186"/>
      <c r="F62" s="201"/>
      <c r="G62" s="122"/>
      <c r="H62" s="122"/>
      <c r="I62" s="122"/>
      <c r="J62" s="202" t="s">
        <v>96</v>
      </c>
      <c r="K62" s="122"/>
      <c r="L62" s="122"/>
      <c r="M62" s="203">
        <f>NPV(E35,M45:M61)</f>
        <v>416287040.66282541</v>
      </c>
    </row>
    <row r="63" spans="2:13" ht="15.75" thickBot="1" x14ac:dyDescent="0.3">
      <c r="B63" s="187" t="s">
        <v>95</v>
      </c>
      <c r="C63" s="188">
        <f>C62+D44</f>
        <v>346312829.55097818</v>
      </c>
      <c r="D63" s="189"/>
      <c r="E63" s="190"/>
      <c r="F63" s="204"/>
      <c r="G63" s="189"/>
      <c r="H63" s="189"/>
      <c r="I63" s="189"/>
      <c r="J63" s="205" t="s">
        <v>95</v>
      </c>
      <c r="K63" s="205"/>
      <c r="L63" s="205"/>
      <c r="M63" s="206">
        <f>M62+K44</f>
        <v>391945741.8755455</v>
      </c>
    </row>
    <row r="65" spans="2:13" ht="15.75" thickBot="1" x14ac:dyDescent="0.3"/>
    <row r="66" spans="2:13" x14ac:dyDescent="0.25">
      <c r="B66" s="791" t="s">
        <v>286</v>
      </c>
      <c r="C66" s="792"/>
      <c r="D66" s="792"/>
      <c r="E66" s="792"/>
      <c r="F66" s="792"/>
      <c r="G66" s="792"/>
      <c r="H66" s="792"/>
      <c r="I66" s="792"/>
      <c r="J66" s="792"/>
      <c r="K66" s="792"/>
      <c r="L66" s="792"/>
      <c r="M66" s="793"/>
    </row>
    <row r="67" spans="2:13" x14ac:dyDescent="0.25">
      <c r="B67" s="794" t="s">
        <v>77</v>
      </c>
      <c r="C67" s="782" t="s">
        <v>226</v>
      </c>
      <c r="D67" s="829" t="s">
        <v>79</v>
      </c>
      <c r="E67" s="831">
        <v>0.12</v>
      </c>
      <c r="F67" s="798" t="s">
        <v>80</v>
      </c>
      <c r="G67" s="606"/>
      <c r="H67" s="610"/>
      <c r="I67" s="610"/>
      <c r="J67" s="611"/>
      <c r="K67" s="800">
        <f>(1-H69)*D76</f>
        <v>-18510493.374357324</v>
      </c>
      <c r="L67" s="606" t="s">
        <v>242</v>
      </c>
      <c r="M67" s="607">
        <v>550</v>
      </c>
    </row>
    <row r="68" spans="2:13" x14ac:dyDescent="0.25">
      <c r="B68" s="795"/>
      <c r="C68" s="783"/>
      <c r="D68" s="830"/>
      <c r="E68" s="832"/>
      <c r="F68" s="799"/>
      <c r="G68" s="612" t="s">
        <v>81</v>
      </c>
      <c r="H68" s="613"/>
      <c r="I68" s="613"/>
      <c r="J68" s="614">
        <f>$M$68+M67/10000</f>
        <v>7.8399999999999997E-2</v>
      </c>
      <c r="K68" s="801"/>
      <c r="L68" s="608" t="s">
        <v>243</v>
      </c>
      <c r="M68" s="609">
        <v>2.3400000000000001E-2</v>
      </c>
    </row>
    <row r="69" spans="2:13" x14ac:dyDescent="0.25">
      <c r="B69" s="795"/>
      <c r="C69" s="783"/>
      <c r="D69" s="622"/>
      <c r="E69" s="825" t="s">
        <v>82</v>
      </c>
      <c r="F69" s="615">
        <v>0.02</v>
      </c>
      <c r="G69" s="612" t="s">
        <v>83</v>
      </c>
      <c r="H69" s="616">
        <v>0.9</v>
      </c>
      <c r="I69" s="600">
        <f>H69*D76</f>
        <v>-166594440.36921597</v>
      </c>
      <c r="J69" s="601"/>
      <c r="K69" s="802"/>
      <c r="L69" s="782" t="s">
        <v>251</v>
      </c>
      <c r="M69" s="827" t="s">
        <v>226</v>
      </c>
    </row>
    <row r="70" spans="2:13" x14ac:dyDescent="0.25">
      <c r="B70" s="637" t="s">
        <v>85</v>
      </c>
      <c r="C70" s="784"/>
      <c r="D70" s="632"/>
      <c r="E70" s="826"/>
      <c r="F70" s="617" t="s">
        <v>86</v>
      </c>
      <c r="G70" s="618" t="s">
        <v>87</v>
      </c>
      <c r="H70" s="619" t="s">
        <v>88</v>
      </c>
      <c r="I70" s="619" t="s">
        <v>89</v>
      </c>
      <c r="J70" s="620" t="s">
        <v>90</v>
      </c>
      <c r="K70" s="803"/>
      <c r="L70" s="784"/>
      <c r="M70" s="828"/>
    </row>
    <row r="71" spans="2:13" x14ac:dyDescent="0.25">
      <c r="B71" s="640"/>
      <c r="C71" s="622"/>
      <c r="D71" s="622"/>
      <c r="E71" s="651"/>
      <c r="F71" s="621"/>
      <c r="G71" s="610"/>
      <c r="H71" s="610"/>
      <c r="I71" s="610"/>
      <c r="J71" s="611"/>
      <c r="K71" s="622"/>
      <c r="L71" s="606"/>
      <c r="M71" s="607"/>
    </row>
    <row r="72" spans="2:13" x14ac:dyDescent="0.25">
      <c r="B72" s="637"/>
      <c r="C72" s="625"/>
      <c r="D72" s="625"/>
      <c r="E72" s="652"/>
      <c r="F72" s="623">
        <f>I69*F69*-1</f>
        <v>3331888.8073843196</v>
      </c>
      <c r="G72" s="613"/>
      <c r="H72" s="613" t="s">
        <v>97</v>
      </c>
      <c r="I72" s="613"/>
      <c r="J72" s="624"/>
      <c r="K72" s="625"/>
      <c r="L72" s="612"/>
      <c r="M72" s="653"/>
    </row>
    <row r="73" spans="2:13" x14ac:dyDescent="0.25">
      <c r="B73" s="637"/>
      <c r="C73" s="625"/>
      <c r="D73" s="625"/>
      <c r="E73" s="652"/>
      <c r="F73" s="623">
        <f>I69*G73*-1</f>
        <v>1665944.4036921598</v>
      </c>
      <c r="G73" s="626">
        <v>0.01</v>
      </c>
      <c r="H73" s="613" t="s">
        <v>92</v>
      </c>
      <c r="I73" s="613"/>
      <c r="J73" s="624"/>
      <c r="K73" s="625"/>
      <c r="L73" s="612"/>
      <c r="M73" s="653"/>
    </row>
    <row r="74" spans="2:13" x14ac:dyDescent="0.25">
      <c r="B74" s="637"/>
      <c r="C74" s="625"/>
      <c r="D74" s="625"/>
      <c r="E74" s="652"/>
      <c r="F74" s="627">
        <f>I69*G74*-1</f>
        <v>832972.2018460799</v>
      </c>
      <c r="G74" s="628">
        <v>5.0000000000000001E-3</v>
      </c>
      <c r="H74" s="613" t="s">
        <v>93</v>
      </c>
      <c r="I74" s="613"/>
      <c r="J74" s="624"/>
      <c r="K74" s="625"/>
      <c r="L74" s="612"/>
      <c r="M74" s="653"/>
    </row>
    <row r="75" spans="2:13" x14ac:dyDescent="0.25">
      <c r="B75" s="617"/>
      <c r="C75" s="625"/>
      <c r="D75" s="625"/>
      <c r="E75" s="652"/>
      <c r="F75" s="629"/>
      <c r="G75" s="630"/>
      <c r="H75" s="630"/>
      <c r="I75" s="630"/>
      <c r="J75" s="631"/>
      <c r="K75" s="632"/>
      <c r="L75" s="612"/>
      <c r="M75" s="654"/>
    </row>
    <row r="76" spans="2:13" x14ac:dyDescent="0.25">
      <c r="B76" s="635">
        <v>2018</v>
      </c>
      <c r="C76" s="599"/>
      <c r="D76" s="689">
        <f>'Análisis Econ CCGT Nuevo'!U5</f>
        <v>-185104933.74357328</v>
      </c>
      <c r="E76" s="690">
        <f>D76</f>
        <v>-185104933.74357328</v>
      </c>
      <c r="F76" s="670">
        <f>E76</f>
        <v>-185104933.74357328</v>
      </c>
      <c r="G76" s="691"/>
      <c r="H76" s="691"/>
      <c r="I76" s="691"/>
      <c r="J76" s="677">
        <f>I69*-1</f>
        <v>166594440.36921597</v>
      </c>
      <c r="K76" s="680">
        <f>K67-(F72+F73+F74)</f>
        <v>-24341298.787279882</v>
      </c>
      <c r="L76" s="681">
        <f>K76</f>
        <v>-24341298.787279882</v>
      </c>
      <c r="M76" s="682">
        <f>K76</f>
        <v>-24341298.787279882</v>
      </c>
    </row>
    <row r="77" spans="2:13" x14ac:dyDescent="0.25">
      <c r="B77" s="416">
        <v>2019</v>
      </c>
      <c r="C77" s="142">
        <f>'Análisis Econ CCGT Nuevo'!U6</f>
        <v>69915446.112585708</v>
      </c>
      <c r="D77" s="134"/>
      <c r="E77" s="336">
        <f>E76+C77</f>
        <v>-115189487.63098757</v>
      </c>
      <c r="F77" s="671">
        <f>C77</f>
        <v>69915446.112585708</v>
      </c>
      <c r="G77" s="674">
        <f>J76*$J$68</f>
        <v>13061004.124946531</v>
      </c>
      <c r="H77" s="674">
        <f>I77-G77</f>
        <v>11587602.153803889</v>
      </c>
      <c r="I77" s="674">
        <f>PMT(J68,10,-J76,,0)</f>
        <v>24648606.27875042</v>
      </c>
      <c r="J77" s="678">
        <f>J76-H77</f>
        <v>155006838.21541208</v>
      </c>
      <c r="K77" s="349"/>
      <c r="L77" s="683">
        <f>M77+K76</f>
        <v>20925541.046555407</v>
      </c>
      <c r="M77" s="684">
        <f>F77-I77</f>
        <v>45266839.833835289</v>
      </c>
    </row>
    <row r="78" spans="2:13" x14ac:dyDescent="0.25">
      <c r="B78" s="635">
        <v>2020</v>
      </c>
      <c r="C78" s="661">
        <f>'Análisis Econ CCGT Nuevo'!U7</f>
        <v>70685571.384022668</v>
      </c>
      <c r="D78" s="599"/>
      <c r="E78" s="690">
        <f t="shared" ref="E78:E93" si="16">E77+C78</f>
        <v>-44503916.246964902</v>
      </c>
      <c r="F78" s="672">
        <f t="shared" ref="F78:F93" si="17">C78</f>
        <v>70685571.384022668</v>
      </c>
      <c r="G78" s="675">
        <f t="shared" ref="G78:G86" si="18">J77*$J$68</f>
        <v>12152536.116088307</v>
      </c>
      <c r="H78" s="675">
        <f>I78-G78</f>
        <v>12496070.162662113</v>
      </c>
      <c r="I78" s="675">
        <f>I77</f>
        <v>24648606.27875042</v>
      </c>
      <c r="J78" s="679">
        <f t="shared" ref="J78:J86" si="19">J77-H78</f>
        <v>142510768.05274996</v>
      </c>
      <c r="K78" s="605"/>
      <c r="L78" s="685">
        <f>L77+M78</f>
        <v>66962506.151827656</v>
      </c>
      <c r="M78" s="686">
        <f t="shared" ref="M78:M93" si="20">F78-I78</f>
        <v>46036965.105272248</v>
      </c>
    </row>
    <row r="79" spans="2:13" x14ac:dyDescent="0.25">
      <c r="B79" s="416">
        <v>2021</v>
      </c>
      <c r="C79" s="142">
        <f>'Análisis Econ CCGT Nuevo'!U8</f>
        <v>71493715.894996464</v>
      </c>
      <c r="D79" s="134"/>
      <c r="E79" s="480">
        <f t="shared" si="16"/>
        <v>26989799.648031563</v>
      </c>
      <c r="F79" s="671">
        <f t="shared" si="17"/>
        <v>71493715.894996464</v>
      </c>
      <c r="G79" s="674">
        <f t="shared" si="18"/>
        <v>11172844.215335596</v>
      </c>
      <c r="H79" s="674">
        <f t="shared" ref="H79:H86" si="21">I79-G79</f>
        <v>13475762.063414823</v>
      </c>
      <c r="I79" s="674">
        <f t="shared" ref="I79:I86" si="22">I78</f>
        <v>24648606.27875042</v>
      </c>
      <c r="J79" s="678">
        <f t="shared" si="19"/>
        <v>129035005.98933513</v>
      </c>
      <c r="K79" s="349"/>
      <c r="L79" s="683">
        <f t="shared" ref="L79:L93" si="23">L78+M79</f>
        <v>113807615.76807371</v>
      </c>
      <c r="M79" s="684">
        <f t="shared" si="20"/>
        <v>46845109.616246045</v>
      </c>
    </row>
    <row r="80" spans="2:13" x14ac:dyDescent="0.25">
      <c r="B80" s="635">
        <v>2022</v>
      </c>
      <c r="C80" s="661">
        <f>'Análisis Econ CCGT Nuevo'!U9</f>
        <v>72333189.150570974</v>
      </c>
      <c r="D80" s="599"/>
      <c r="E80" s="692">
        <f t="shared" si="16"/>
        <v>99322988.798602536</v>
      </c>
      <c r="F80" s="672">
        <f t="shared" si="17"/>
        <v>72333189.150570974</v>
      </c>
      <c r="G80" s="675">
        <f t="shared" si="18"/>
        <v>10116344.469563873</v>
      </c>
      <c r="H80" s="675">
        <f t="shared" si="21"/>
        <v>14532261.809186546</v>
      </c>
      <c r="I80" s="675">
        <f t="shared" si="22"/>
        <v>24648606.27875042</v>
      </c>
      <c r="J80" s="679">
        <f t="shared" si="19"/>
        <v>114502744.18014859</v>
      </c>
      <c r="K80" s="605"/>
      <c r="L80" s="685">
        <f t="shared" si="23"/>
        <v>161492198.63989425</v>
      </c>
      <c r="M80" s="686">
        <f t="shared" si="20"/>
        <v>47684582.871820554</v>
      </c>
    </row>
    <row r="81" spans="2:13" x14ac:dyDescent="0.25">
      <c r="B81" s="416">
        <v>2023</v>
      </c>
      <c r="C81" s="142">
        <f>'Análisis Econ CCGT Nuevo'!U10</f>
        <v>73219414.655781239</v>
      </c>
      <c r="D81" s="134"/>
      <c r="E81" s="343">
        <f t="shared" si="16"/>
        <v>172542403.45438379</v>
      </c>
      <c r="F81" s="671">
        <f t="shared" si="17"/>
        <v>73219414.655781239</v>
      </c>
      <c r="G81" s="674">
        <f t="shared" si="18"/>
        <v>8977015.143723648</v>
      </c>
      <c r="H81" s="674">
        <f t="shared" si="21"/>
        <v>15671591.135026772</v>
      </c>
      <c r="I81" s="674">
        <f t="shared" si="22"/>
        <v>24648606.27875042</v>
      </c>
      <c r="J81" s="678">
        <f t="shared" si="19"/>
        <v>98831153.045121819</v>
      </c>
      <c r="K81" s="349"/>
      <c r="L81" s="683">
        <f t="shared" si="23"/>
        <v>210063007.01692507</v>
      </c>
      <c r="M81" s="684">
        <f t="shared" si="20"/>
        <v>48570808.37703082</v>
      </c>
    </row>
    <row r="82" spans="2:13" x14ac:dyDescent="0.25">
      <c r="B82" s="635">
        <v>2024</v>
      </c>
      <c r="C82" s="661">
        <f>'Análisis Econ CCGT Nuevo'!U11</f>
        <v>74119701.840575278</v>
      </c>
      <c r="D82" s="599"/>
      <c r="E82" s="692">
        <f t="shared" si="16"/>
        <v>246662105.29495907</v>
      </c>
      <c r="F82" s="672">
        <f t="shared" si="17"/>
        <v>74119701.840575278</v>
      </c>
      <c r="G82" s="675">
        <f t="shared" si="18"/>
        <v>7748362.3987375507</v>
      </c>
      <c r="H82" s="675">
        <f t="shared" si="21"/>
        <v>16900243.88001287</v>
      </c>
      <c r="I82" s="675">
        <f t="shared" si="22"/>
        <v>24648606.27875042</v>
      </c>
      <c r="J82" s="679">
        <f t="shared" si="19"/>
        <v>81930909.165108949</v>
      </c>
      <c r="K82" s="605"/>
      <c r="L82" s="685">
        <f t="shared" si="23"/>
        <v>259534102.57874992</v>
      </c>
      <c r="M82" s="686">
        <f t="shared" si="20"/>
        <v>49471095.561824858</v>
      </c>
    </row>
    <row r="83" spans="2:13" x14ac:dyDescent="0.25">
      <c r="B83" s="416">
        <v>2025</v>
      </c>
      <c r="C83" s="142">
        <f>'Análisis Econ CCGT Nuevo'!U12</f>
        <v>74989410.583253875</v>
      </c>
      <c r="D83" s="134"/>
      <c r="E83" s="343">
        <f t="shared" si="16"/>
        <v>321651515.87821293</v>
      </c>
      <c r="F83" s="671">
        <f t="shared" si="17"/>
        <v>74989410.583253875</v>
      </c>
      <c r="G83" s="674">
        <f t="shared" si="18"/>
        <v>6423383.2785445414</v>
      </c>
      <c r="H83" s="674">
        <f t="shared" si="21"/>
        <v>18225223.000205878</v>
      </c>
      <c r="I83" s="674">
        <f t="shared" si="22"/>
        <v>24648606.27875042</v>
      </c>
      <c r="J83" s="678">
        <f t="shared" si="19"/>
        <v>63705686.164903075</v>
      </c>
      <c r="K83" s="349"/>
      <c r="L83" s="683">
        <f t="shared" si="23"/>
        <v>309874906.8832534</v>
      </c>
      <c r="M83" s="684">
        <f t="shared" si="20"/>
        <v>50340804.304503456</v>
      </c>
    </row>
    <row r="84" spans="2:13" x14ac:dyDescent="0.25">
      <c r="B84" s="635">
        <v>2026</v>
      </c>
      <c r="C84" s="661">
        <f>'Análisis Econ CCGT Nuevo'!U13</f>
        <v>75877899.503209934</v>
      </c>
      <c r="D84" s="599"/>
      <c r="E84" s="692">
        <f t="shared" si="16"/>
        <v>397529415.38142288</v>
      </c>
      <c r="F84" s="672">
        <f t="shared" si="17"/>
        <v>75877899.503209934</v>
      </c>
      <c r="G84" s="675">
        <f t="shared" si="18"/>
        <v>4994525.795328401</v>
      </c>
      <c r="H84" s="675">
        <f t="shared" si="21"/>
        <v>19654080.483422019</v>
      </c>
      <c r="I84" s="675">
        <f t="shared" si="22"/>
        <v>24648606.27875042</v>
      </c>
      <c r="J84" s="679">
        <f t="shared" si="19"/>
        <v>44051605.681481056</v>
      </c>
      <c r="K84" s="605"/>
      <c r="L84" s="685">
        <f t="shared" si="23"/>
        <v>361104200.10771292</v>
      </c>
      <c r="M84" s="686">
        <f t="shared" si="20"/>
        <v>51229293.224459514</v>
      </c>
    </row>
    <row r="85" spans="2:13" x14ac:dyDescent="0.25">
      <c r="B85" s="416">
        <v>2027</v>
      </c>
      <c r="C85" s="142">
        <f>'Análisis Econ CCGT Nuevo'!U14</f>
        <v>76939902.507622674</v>
      </c>
      <c r="D85" s="134"/>
      <c r="E85" s="343">
        <f t="shared" si="16"/>
        <v>474469317.88904554</v>
      </c>
      <c r="F85" s="671">
        <f t="shared" si="17"/>
        <v>76939902.507622674</v>
      </c>
      <c r="G85" s="674">
        <f t="shared" si="18"/>
        <v>3453645.8854281148</v>
      </c>
      <c r="H85" s="674">
        <f t="shared" si="21"/>
        <v>21194960.393322304</v>
      </c>
      <c r="I85" s="674">
        <f t="shared" si="22"/>
        <v>24648606.27875042</v>
      </c>
      <c r="J85" s="678">
        <f t="shared" si="19"/>
        <v>22856645.288158752</v>
      </c>
      <c r="K85" s="349"/>
      <c r="L85" s="683">
        <f t="shared" si="23"/>
        <v>413395496.33658516</v>
      </c>
      <c r="M85" s="684">
        <f t="shared" si="20"/>
        <v>52291296.228872254</v>
      </c>
    </row>
    <row r="86" spans="2:13" x14ac:dyDescent="0.25">
      <c r="B86" s="635">
        <v>2028</v>
      </c>
      <c r="C86" s="661">
        <f>'Análisis Econ CCGT Nuevo'!U15</f>
        <v>77791140.860475108</v>
      </c>
      <c r="D86" s="599"/>
      <c r="E86" s="692">
        <f t="shared" si="16"/>
        <v>552260458.74952066</v>
      </c>
      <c r="F86" s="672">
        <f t="shared" si="17"/>
        <v>77791140.860475108</v>
      </c>
      <c r="G86" s="675">
        <f t="shared" si="18"/>
        <v>1791960.9905916462</v>
      </c>
      <c r="H86" s="675">
        <f t="shared" si="21"/>
        <v>22856645.288158774</v>
      </c>
      <c r="I86" s="675">
        <f t="shared" si="22"/>
        <v>24648606.27875042</v>
      </c>
      <c r="J86" s="679">
        <f t="shared" si="19"/>
        <v>0</v>
      </c>
      <c r="K86" s="605"/>
      <c r="L86" s="685">
        <f t="shared" si="23"/>
        <v>466538030.91830987</v>
      </c>
      <c r="M86" s="686">
        <f t="shared" si="20"/>
        <v>53142534.581724688</v>
      </c>
    </row>
    <row r="87" spans="2:13" x14ac:dyDescent="0.25">
      <c r="B87" s="416">
        <v>2029</v>
      </c>
      <c r="C87" s="142">
        <f>'Análisis Econ CCGT Nuevo'!U16</f>
        <v>78753224.792371258</v>
      </c>
      <c r="D87" s="134"/>
      <c r="E87" s="343">
        <f t="shared" si="16"/>
        <v>631013683.54189193</v>
      </c>
      <c r="F87" s="671">
        <f t="shared" si="17"/>
        <v>78753224.792371258</v>
      </c>
      <c r="G87" s="341"/>
      <c r="H87" s="676">
        <f>SUM(H77:H86)</f>
        <v>166594440.36921597</v>
      </c>
      <c r="I87" s="341"/>
      <c r="J87" s="342"/>
      <c r="K87" s="349"/>
      <c r="L87" s="683">
        <f t="shared" si="23"/>
        <v>545291255.71068108</v>
      </c>
      <c r="M87" s="684">
        <f t="shared" si="20"/>
        <v>78753224.792371258</v>
      </c>
    </row>
    <row r="88" spans="2:13" x14ac:dyDescent="0.25">
      <c r="B88" s="635">
        <v>2030</v>
      </c>
      <c r="C88" s="661">
        <f>'Análisis Econ CCGT Nuevo'!U17</f>
        <v>79675292.07939294</v>
      </c>
      <c r="D88" s="599"/>
      <c r="E88" s="692">
        <f t="shared" si="16"/>
        <v>710688975.62128484</v>
      </c>
      <c r="F88" s="672">
        <f t="shared" si="17"/>
        <v>79675292.07939294</v>
      </c>
      <c r="G88" s="693"/>
      <c r="H88" s="693"/>
      <c r="I88" s="693"/>
      <c r="J88" s="694"/>
      <c r="K88" s="605"/>
      <c r="L88" s="685">
        <f t="shared" si="23"/>
        <v>624966547.79007399</v>
      </c>
      <c r="M88" s="686">
        <f t="shared" si="20"/>
        <v>79675292.07939294</v>
      </c>
    </row>
    <row r="89" spans="2:13" x14ac:dyDescent="0.25">
      <c r="B89" s="416">
        <v>2031</v>
      </c>
      <c r="C89" s="142">
        <f>'Análisis Econ CCGT Nuevo'!U18</f>
        <v>80619167.152236879</v>
      </c>
      <c r="D89" s="134"/>
      <c r="E89" s="343">
        <f t="shared" si="16"/>
        <v>791308142.77352166</v>
      </c>
      <c r="F89" s="671">
        <f t="shared" si="17"/>
        <v>80619167.152236879</v>
      </c>
      <c r="G89" s="341"/>
      <c r="H89" s="341"/>
      <c r="I89" s="341"/>
      <c r="J89" s="342"/>
      <c r="K89" s="349"/>
      <c r="L89" s="683">
        <f t="shared" si="23"/>
        <v>705585714.94231081</v>
      </c>
      <c r="M89" s="684">
        <f t="shared" si="20"/>
        <v>80619167.152236879</v>
      </c>
    </row>
    <row r="90" spans="2:13" x14ac:dyDescent="0.25">
      <c r="B90" s="635">
        <v>2032</v>
      </c>
      <c r="C90" s="661">
        <f>'Análisis Econ CCGT Nuevo'!U19</f>
        <v>81554167.279586628</v>
      </c>
      <c r="D90" s="599"/>
      <c r="E90" s="692">
        <f t="shared" si="16"/>
        <v>872862310.05310833</v>
      </c>
      <c r="F90" s="672">
        <f t="shared" si="17"/>
        <v>81554167.279586628</v>
      </c>
      <c r="G90" s="693"/>
      <c r="H90" s="693"/>
      <c r="I90" s="693"/>
      <c r="J90" s="694"/>
      <c r="K90" s="605"/>
      <c r="L90" s="685">
        <f t="shared" si="23"/>
        <v>787139882.22189748</v>
      </c>
      <c r="M90" s="686">
        <f t="shared" si="20"/>
        <v>81554167.279586628</v>
      </c>
    </row>
    <row r="91" spans="2:13" x14ac:dyDescent="0.25">
      <c r="B91" s="416">
        <v>2033</v>
      </c>
      <c r="C91" s="142">
        <f>'Análisis Econ CCGT Nuevo'!U20</f>
        <v>82626472.497058108</v>
      </c>
      <c r="D91" s="134"/>
      <c r="E91" s="343">
        <f t="shared" si="16"/>
        <v>955488782.55016649</v>
      </c>
      <c r="F91" s="671">
        <f t="shared" si="17"/>
        <v>82626472.497058108</v>
      </c>
      <c r="G91" s="341"/>
      <c r="H91" s="341"/>
      <c r="I91" s="341"/>
      <c r="J91" s="342"/>
      <c r="K91" s="349"/>
      <c r="L91" s="683">
        <f t="shared" si="23"/>
        <v>869766354.71895564</v>
      </c>
      <c r="M91" s="684">
        <f t="shared" si="20"/>
        <v>82626472.497058108</v>
      </c>
    </row>
    <row r="92" spans="2:13" x14ac:dyDescent="0.25">
      <c r="B92" s="635">
        <v>2034</v>
      </c>
      <c r="C92" s="661">
        <f>'Análisis Econ CCGT Nuevo'!U21</f>
        <v>83631845.608258769</v>
      </c>
      <c r="D92" s="599"/>
      <c r="E92" s="692">
        <f t="shared" si="16"/>
        <v>1039120628.1584252</v>
      </c>
      <c r="F92" s="672">
        <f t="shared" si="17"/>
        <v>83631845.608258769</v>
      </c>
      <c r="G92" s="693"/>
      <c r="H92" s="693"/>
      <c r="I92" s="693"/>
      <c r="J92" s="694"/>
      <c r="K92" s="605"/>
      <c r="L92" s="685">
        <f t="shared" si="23"/>
        <v>953398200.32721436</v>
      </c>
      <c r="M92" s="686">
        <f t="shared" si="20"/>
        <v>83631845.608258769</v>
      </c>
    </row>
    <row r="93" spans="2:13" x14ac:dyDescent="0.25">
      <c r="B93" s="182">
        <v>2035</v>
      </c>
      <c r="C93" s="148">
        <f>'Análisis Econ CCGT Nuevo'!U22</f>
        <v>84710632.083681047</v>
      </c>
      <c r="D93" s="130"/>
      <c r="E93" s="344">
        <f t="shared" si="16"/>
        <v>1123831260.2421062</v>
      </c>
      <c r="F93" s="673">
        <f t="shared" si="17"/>
        <v>84710632.083681047</v>
      </c>
      <c r="G93" s="346"/>
      <c r="H93" s="346"/>
      <c r="I93" s="346"/>
      <c r="J93" s="347"/>
      <c r="K93" s="350"/>
      <c r="L93" s="687">
        <f t="shared" si="23"/>
        <v>1038108832.4108953</v>
      </c>
      <c r="M93" s="688">
        <f t="shared" si="20"/>
        <v>84710632.083681047</v>
      </c>
    </row>
    <row r="94" spans="2:13" x14ac:dyDescent="0.25">
      <c r="B94" s="184" t="s">
        <v>96</v>
      </c>
      <c r="C94" s="185">
        <f>NPV(E67,C77:C93)</f>
        <v>531417763.29455149</v>
      </c>
      <c r="D94" s="122"/>
      <c r="E94" s="186"/>
      <c r="F94" s="201"/>
      <c r="G94" s="122"/>
      <c r="H94" s="122"/>
      <c r="I94" s="122"/>
      <c r="J94" s="202" t="s">
        <v>96</v>
      </c>
      <c r="K94" s="122"/>
      <c r="L94" s="122"/>
      <c r="M94" s="203">
        <f>NPV(E67,M77:M93)</f>
        <v>392147640.4801231</v>
      </c>
    </row>
    <row r="95" spans="2:13" ht="15.75" thickBot="1" x14ac:dyDescent="0.3">
      <c r="B95" s="187" t="s">
        <v>95</v>
      </c>
      <c r="C95" s="188">
        <f>C94+D76</f>
        <v>346312829.55097818</v>
      </c>
      <c r="D95" s="189"/>
      <c r="E95" s="190"/>
      <c r="F95" s="204"/>
      <c r="G95" s="189"/>
      <c r="H95" s="189"/>
      <c r="I95" s="189"/>
      <c r="J95" s="205" t="s">
        <v>95</v>
      </c>
      <c r="K95" s="205"/>
      <c r="L95" s="205"/>
      <c r="M95" s="206">
        <f>M94+K76</f>
        <v>367806341.6928432</v>
      </c>
    </row>
  </sheetData>
  <mergeCells count="31">
    <mergeCell ref="K67:K70"/>
    <mergeCell ref="E69:E70"/>
    <mergeCell ref="L69:L70"/>
    <mergeCell ref="M69:M70"/>
    <mergeCell ref="B66:M66"/>
    <mergeCell ref="B67:B69"/>
    <mergeCell ref="C67:C70"/>
    <mergeCell ref="D67:D68"/>
    <mergeCell ref="E67:E68"/>
    <mergeCell ref="F67:F68"/>
    <mergeCell ref="B34:E34"/>
    <mergeCell ref="F34:M34"/>
    <mergeCell ref="B35:B37"/>
    <mergeCell ref="C35:C38"/>
    <mergeCell ref="D35:D36"/>
    <mergeCell ref="E35:E36"/>
    <mergeCell ref="F35:F36"/>
    <mergeCell ref="K35:K38"/>
    <mergeCell ref="E37:E38"/>
    <mergeCell ref="L37:L38"/>
    <mergeCell ref="M37:M38"/>
    <mergeCell ref="L5:L11"/>
    <mergeCell ref="M5:M11"/>
    <mergeCell ref="D3:D6"/>
    <mergeCell ref="B2:M2"/>
    <mergeCell ref="B3:B5"/>
    <mergeCell ref="C3:C6"/>
    <mergeCell ref="E3:E4"/>
    <mergeCell ref="F3:F4"/>
    <mergeCell ref="K3:K6"/>
    <mergeCell ref="E5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X65"/>
  <sheetViews>
    <sheetView topLeftCell="I7" zoomScale="80" zoomScaleNormal="80" workbookViewId="0">
      <selection activeCell="O4" sqref="O4:S4"/>
    </sheetView>
  </sheetViews>
  <sheetFormatPr baseColWidth="10" defaultRowHeight="15" x14ac:dyDescent="0.25"/>
  <cols>
    <col min="2" max="2" width="37.28515625" bestFit="1" customWidth="1"/>
    <col min="5" max="5" width="13.5703125" bestFit="1" customWidth="1"/>
    <col min="6" max="6" width="20.140625" bestFit="1" customWidth="1"/>
    <col min="7" max="7" width="15.28515625" bestFit="1" customWidth="1"/>
    <col min="8" max="8" width="14.5703125" bestFit="1" customWidth="1"/>
    <col min="10" max="10" width="7.42578125" customWidth="1"/>
    <col min="11" max="11" width="10.85546875" customWidth="1"/>
    <col min="12" max="12" width="12.7109375" customWidth="1"/>
    <col min="13" max="13" width="11.85546875" customWidth="1"/>
    <col min="14" max="14" width="10.85546875" customWidth="1"/>
    <col min="15" max="15" width="15.85546875" customWidth="1"/>
    <col min="16" max="17" width="15.140625" customWidth="1"/>
    <col min="18" max="18" width="13.5703125" customWidth="1"/>
    <col min="19" max="19" width="14.42578125" customWidth="1"/>
    <col min="20" max="20" width="17.7109375" customWidth="1"/>
    <col min="21" max="21" width="17.5703125" customWidth="1"/>
    <col min="22" max="22" width="19.7109375" customWidth="1"/>
    <col min="23" max="23" width="11" customWidth="1"/>
    <col min="24" max="24" width="11.5703125" bestFit="1" customWidth="1"/>
    <col min="25" max="25" width="15.28515625" customWidth="1"/>
    <col min="26" max="26" width="16" customWidth="1"/>
    <col min="27" max="27" width="15.7109375" customWidth="1"/>
    <col min="28" max="28" width="14.7109375" customWidth="1"/>
    <col min="29" max="29" width="13.7109375" customWidth="1"/>
    <col min="30" max="30" width="17.42578125" customWidth="1"/>
    <col min="31" max="31" width="15.28515625" customWidth="1"/>
    <col min="32" max="32" width="15.7109375" customWidth="1"/>
    <col min="33" max="33" width="14.140625" customWidth="1"/>
    <col min="34" max="34" width="17.5703125" customWidth="1"/>
    <col min="35" max="35" width="15.28515625" customWidth="1"/>
    <col min="36" max="36" width="16.28515625" customWidth="1"/>
    <col min="37" max="37" width="16" customWidth="1"/>
    <col min="38" max="38" width="16.7109375" customWidth="1"/>
    <col min="39" max="39" width="16.42578125" bestFit="1" customWidth="1"/>
    <col min="40" max="40" width="15.7109375" bestFit="1" customWidth="1"/>
    <col min="41" max="41" width="18" customWidth="1"/>
    <col min="42" max="42" width="17" bestFit="1" customWidth="1"/>
    <col min="43" max="43" width="17.140625" customWidth="1"/>
    <col min="44" max="44" width="12.85546875" bestFit="1" customWidth="1"/>
    <col min="45" max="45" width="16.85546875" customWidth="1"/>
    <col min="46" max="46" width="18.42578125" customWidth="1"/>
    <col min="47" max="47" width="18.7109375" customWidth="1"/>
    <col min="48" max="50" width="14.42578125" bestFit="1" customWidth="1"/>
    <col min="51" max="51" width="15.85546875" customWidth="1"/>
    <col min="52" max="53" width="14.85546875" bestFit="1" customWidth="1"/>
    <col min="54" max="54" width="15.7109375" bestFit="1" customWidth="1"/>
  </cols>
  <sheetData>
    <row r="1" spans="1:4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45" ht="21" customHeight="1" thickBot="1" x14ac:dyDescent="0.35">
      <c r="A2" s="1"/>
      <c r="B2" s="2"/>
      <c r="C2" s="743"/>
      <c r="D2" s="743"/>
      <c r="E2" s="3"/>
      <c r="F2" s="4"/>
      <c r="G2" s="4"/>
      <c r="H2" s="1"/>
      <c r="I2" s="1"/>
      <c r="J2" s="1"/>
      <c r="K2" s="1"/>
      <c r="L2" s="1"/>
      <c r="M2" s="314"/>
      <c r="N2" s="1"/>
      <c r="O2" s="1"/>
      <c r="P2" s="1"/>
      <c r="Q2" s="1"/>
      <c r="R2" s="1"/>
      <c r="S2" s="1"/>
      <c r="T2" s="1"/>
      <c r="U2" s="1"/>
      <c r="X2" s="766" t="s">
        <v>7</v>
      </c>
      <c r="Y2" s="768" t="s">
        <v>133</v>
      </c>
      <c r="Z2" s="770" t="s">
        <v>134</v>
      </c>
      <c r="AA2" s="772" t="s">
        <v>135</v>
      </c>
      <c r="AB2" s="776" t="s">
        <v>136</v>
      </c>
      <c r="AC2" s="777"/>
      <c r="AD2" s="772" t="s">
        <v>139</v>
      </c>
      <c r="AE2" s="778" t="s">
        <v>147</v>
      </c>
      <c r="AF2" s="778" t="s">
        <v>152</v>
      </c>
      <c r="AG2" s="780" t="s">
        <v>153</v>
      </c>
      <c r="AH2" s="778" t="s">
        <v>139</v>
      </c>
      <c r="AI2" s="778" t="s">
        <v>154</v>
      </c>
      <c r="AJ2" s="778" t="s">
        <v>155</v>
      </c>
      <c r="AK2" s="778" t="s">
        <v>156</v>
      </c>
      <c r="AO2" s="754" t="s">
        <v>164</v>
      </c>
      <c r="AP2" s="755"/>
      <c r="AQ2" s="755"/>
      <c r="AR2" s="755"/>
      <c r="AS2" s="756"/>
    </row>
    <row r="3" spans="1:45" ht="45.75" customHeight="1" thickBot="1" x14ac:dyDescent="0.3">
      <c r="A3" s="1"/>
      <c r="B3" s="52" t="s">
        <v>0</v>
      </c>
      <c r="C3" s="5"/>
      <c r="D3" s="6"/>
      <c r="E3" s="53" t="s">
        <v>3</v>
      </c>
      <c r="F3" s="46"/>
      <c r="G3" s="46"/>
      <c r="H3" s="1"/>
      <c r="I3" s="1"/>
      <c r="J3" s="845" t="s">
        <v>7</v>
      </c>
      <c r="K3" s="847" t="s">
        <v>8</v>
      </c>
      <c r="L3" s="849" t="s">
        <v>21</v>
      </c>
      <c r="M3" s="851" t="s">
        <v>19</v>
      </c>
      <c r="N3" s="853" t="s">
        <v>9</v>
      </c>
      <c r="O3" s="855" t="s">
        <v>274</v>
      </c>
      <c r="P3" s="856"/>
      <c r="Q3" s="856"/>
      <c r="R3" s="856"/>
      <c r="S3" s="856"/>
      <c r="T3" s="856"/>
      <c r="U3" s="856"/>
      <c r="V3" s="857"/>
      <c r="X3" s="767"/>
      <c r="Y3" s="769"/>
      <c r="Z3" s="771"/>
      <c r="AA3" s="773"/>
      <c r="AB3" s="309" t="s">
        <v>137</v>
      </c>
      <c r="AC3" s="310" t="s">
        <v>138</v>
      </c>
      <c r="AD3" s="773"/>
      <c r="AE3" s="779"/>
      <c r="AF3" s="779"/>
      <c r="AG3" s="781"/>
      <c r="AH3" s="779"/>
      <c r="AI3" s="779"/>
      <c r="AJ3" s="779"/>
      <c r="AK3" s="779"/>
      <c r="AO3" s="268" t="s">
        <v>22</v>
      </c>
      <c r="AP3" s="262" t="s">
        <v>148</v>
      </c>
      <c r="AQ3" s="262" t="s">
        <v>149</v>
      </c>
      <c r="AR3" s="265"/>
      <c r="AS3" s="263" t="s">
        <v>152</v>
      </c>
    </row>
    <row r="4" spans="1:45" ht="16.5" customHeight="1" thickBot="1" x14ac:dyDescent="0.3">
      <c r="A4" s="1"/>
      <c r="B4" s="7" t="s">
        <v>1</v>
      </c>
      <c r="C4" s="8"/>
      <c r="D4" s="9"/>
      <c r="E4" s="13">
        <v>163.566</v>
      </c>
      <c r="F4" s="47"/>
      <c r="G4" s="47"/>
      <c r="H4" s="1"/>
      <c r="I4" s="1"/>
      <c r="J4" s="846"/>
      <c r="K4" s="848"/>
      <c r="L4" s="850"/>
      <c r="M4" s="852"/>
      <c r="N4" s="854"/>
      <c r="O4" s="559" t="s">
        <v>272</v>
      </c>
      <c r="P4" s="559" t="s">
        <v>273</v>
      </c>
      <c r="Q4" s="560"/>
      <c r="R4" s="561"/>
      <c r="S4" s="562"/>
      <c r="T4" s="559" t="s">
        <v>23</v>
      </c>
      <c r="U4" s="559" t="s">
        <v>271</v>
      </c>
      <c r="V4" s="563" t="s">
        <v>55</v>
      </c>
      <c r="X4" s="255">
        <v>0</v>
      </c>
      <c r="Y4" s="247"/>
      <c r="Z4" s="225"/>
      <c r="AA4" s="254">
        <f>Y4-Z4</f>
        <v>0</v>
      </c>
      <c r="AB4" s="242"/>
      <c r="AC4" s="243"/>
      <c r="AD4" s="244">
        <f>AB4+AC4</f>
        <v>0</v>
      </c>
      <c r="AE4" s="252"/>
      <c r="AF4" s="252">
        <f t="shared" ref="AF4:AF21" si="0">AS4</f>
        <v>0</v>
      </c>
      <c r="AG4" s="252">
        <f>AE4-AF4</f>
        <v>0</v>
      </c>
      <c r="AH4" s="252"/>
      <c r="AI4" s="252">
        <f>-U5/1000</f>
        <v>185104.93374357329</v>
      </c>
      <c r="AJ4" s="252">
        <f>AG4+AH4-AI4</f>
        <v>-185104.93374357329</v>
      </c>
      <c r="AK4" s="252">
        <f>AJ4</f>
        <v>-185104.93374357329</v>
      </c>
      <c r="AO4" s="255">
        <v>0</v>
      </c>
      <c r="AP4" s="161"/>
      <c r="AQ4" s="161"/>
      <c r="AR4" s="266">
        <f>IF(AQ4&gt;0,1,0)</f>
        <v>0</v>
      </c>
      <c r="AS4" s="254">
        <f t="shared" ref="AS4:AS21" si="1">MIN(AP4:AQ4)*AR4*$S$60</f>
        <v>0</v>
      </c>
    </row>
    <row r="5" spans="1:45" ht="16.5" customHeight="1" thickBot="1" x14ac:dyDescent="0.3">
      <c r="A5" s="1"/>
      <c r="B5" s="7" t="s">
        <v>2</v>
      </c>
      <c r="C5" s="8"/>
      <c r="D5" s="9"/>
      <c r="E5" s="12">
        <v>158.821</v>
      </c>
      <c r="F5" s="47"/>
      <c r="G5" s="47"/>
      <c r="H5" s="1"/>
      <c r="I5" s="1"/>
      <c r="J5" s="564">
        <v>2018</v>
      </c>
      <c r="K5" s="565"/>
      <c r="L5" s="565"/>
      <c r="M5" s="566"/>
      <c r="N5" s="565"/>
      <c r="O5" s="564"/>
      <c r="P5" s="564"/>
      <c r="Q5" s="564"/>
      <c r="R5" s="564"/>
      <c r="S5" s="564"/>
      <c r="T5" s="567">
        <f>-E4*C25*1000</f>
        <v>-185104933.74357328</v>
      </c>
      <c r="U5" s="584">
        <f>T5</f>
        <v>-185104933.74357328</v>
      </c>
      <c r="V5" s="585">
        <f>U5</f>
        <v>-185104933.74357328</v>
      </c>
      <c r="X5" s="255">
        <v>1</v>
      </c>
      <c r="Y5" s="248">
        <f>(O6+P6)/1000</f>
        <v>163621.11389718551</v>
      </c>
      <c r="Z5" s="169">
        <f>(Q6+R6+S6)/1000</f>
        <v>93705.667784599776</v>
      </c>
      <c r="AA5" s="244">
        <f>Y5-Z5</f>
        <v>69915.446112585734</v>
      </c>
      <c r="AB5" s="242">
        <f>U57</f>
        <v>29246.579531484582</v>
      </c>
      <c r="AC5" s="243">
        <f>U58</f>
        <v>1943.6018043075194</v>
      </c>
      <c r="AD5" s="244">
        <f>AB5+AC5</f>
        <v>31190.181335792102</v>
      </c>
      <c r="AE5" s="252">
        <f>AA5-AD5</f>
        <v>38725.264776793629</v>
      </c>
      <c r="AF5" s="252">
        <f t="shared" si="0"/>
        <v>11617.579433038089</v>
      </c>
      <c r="AG5" s="252">
        <f>AE5-AF5</f>
        <v>27107.68534375554</v>
      </c>
      <c r="AH5" s="252">
        <f>AD5</f>
        <v>31190.181335792102</v>
      </c>
      <c r="AI5" s="255"/>
      <c r="AJ5" s="252">
        <f t="shared" ref="AJ5:AJ21" si="2">AG5+AH5+AI5</f>
        <v>58297.866679547646</v>
      </c>
      <c r="AK5" s="252">
        <f>AK4+AJ5</f>
        <v>-126807.06706402564</v>
      </c>
      <c r="AO5" s="255">
        <v>1</v>
      </c>
      <c r="AP5" s="243">
        <f t="shared" ref="AP5:AP21" si="3">AE5</f>
        <v>38725.264776793629</v>
      </c>
      <c r="AQ5" s="243">
        <f>AP5+AQ4</f>
        <v>38725.264776793629</v>
      </c>
      <c r="AR5" s="266">
        <f t="shared" ref="AR5:AR21" si="4">IF(AQ5&gt;0,1,0)</f>
        <v>1</v>
      </c>
      <c r="AS5" s="254">
        <f t="shared" si="1"/>
        <v>11617.579433038089</v>
      </c>
    </row>
    <row r="6" spans="1:45" ht="16.5" thickBot="1" x14ac:dyDescent="0.3">
      <c r="A6" s="1"/>
      <c r="B6" s="7" t="s">
        <v>4</v>
      </c>
      <c r="C6" s="8"/>
      <c r="D6" s="9"/>
      <c r="E6" s="106">
        <v>0.9</v>
      </c>
      <c r="F6" s="47"/>
      <c r="G6" s="47"/>
      <c r="H6" s="1"/>
      <c r="I6" s="1"/>
      <c r="J6" s="568">
        <v>2019</v>
      </c>
      <c r="K6" s="569">
        <f>E6</f>
        <v>0.9</v>
      </c>
      <c r="L6" s="570">
        <f t="shared" ref="L6:L22" si="5">$E$4*K6*$E$11</f>
        <v>1289554.344</v>
      </c>
      <c r="M6" s="571">
        <f t="shared" ref="M6:M22" si="6">$E$5*$E$11*K6</f>
        <v>1252144.764</v>
      </c>
      <c r="N6" s="572">
        <f>E9</f>
        <v>7159</v>
      </c>
      <c r="O6" s="573">
        <f>M6*B31</f>
        <v>150242032.85718551</v>
      </c>
      <c r="P6" s="573">
        <f>$E$5*K6*1000*$C$26*12</f>
        <v>13379081.039999999</v>
      </c>
      <c r="Q6" s="573">
        <f t="shared" ref="Q6:Q22" si="7">$E$4*$C$23+L6*$C$24</f>
        <v>10952800.08876534</v>
      </c>
      <c r="R6" s="573">
        <f t="shared" ref="R6:R22" si="8">($E$16*$E$15*K6*$E$11/1000)+($E$17*$E$18*K6*$E$11/1000)</f>
        <v>6976392.9767582417</v>
      </c>
      <c r="S6" s="573">
        <f t="shared" ref="S6:S22" si="9">N6*L6*1000*G26</f>
        <v>75776474.719076201</v>
      </c>
      <c r="T6" s="574" t="s">
        <v>47</v>
      </c>
      <c r="U6" s="586">
        <f>O6+P6-Q6-R6-S6</f>
        <v>69915446.112585708</v>
      </c>
      <c r="V6" s="587">
        <f>V5+U6</f>
        <v>-115189487.63098757</v>
      </c>
      <c r="X6" s="255">
        <v>2</v>
      </c>
      <c r="Y6" s="248">
        <f t="shared" ref="Y6:Y21" si="10">(O7+P7)/1000</f>
        <v>168767.38279887434</v>
      </c>
      <c r="Z6" s="169">
        <f t="shared" ref="Z6:Z21" si="11">(Q7+R7+S7)/1000</f>
        <v>98081.811414851691</v>
      </c>
      <c r="AA6" s="244">
        <f t="shared" ref="AA6:AA21" si="12">Y6-Z6</f>
        <v>70685.571384022653</v>
      </c>
      <c r="AB6" s="242">
        <f>AB5</f>
        <v>29246.579531484582</v>
      </c>
      <c r="AC6" s="243">
        <f>AC5</f>
        <v>1943.6018043075194</v>
      </c>
      <c r="AD6" s="244">
        <f t="shared" ref="AD6:AD21" si="13">AB6+AC6</f>
        <v>31190.181335792102</v>
      </c>
      <c r="AE6" s="252">
        <f t="shared" ref="AE6:AE21" si="14">AA6-AD6</f>
        <v>39495.390048230547</v>
      </c>
      <c r="AF6" s="252">
        <f t="shared" si="0"/>
        <v>11848.617014469164</v>
      </c>
      <c r="AG6" s="252">
        <f t="shared" ref="AG6:AG21" si="15">AE6-AF6</f>
        <v>27646.773033761383</v>
      </c>
      <c r="AH6" s="252">
        <f t="shared" ref="AH6:AH21" si="16">AD6</f>
        <v>31190.181335792102</v>
      </c>
      <c r="AI6" s="255"/>
      <c r="AJ6" s="252">
        <f t="shared" si="2"/>
        <v>58836.954369553481</v>
      </c>
      <c r="AK6" s="252">
        <f t="shared" ref="AK6:AK21" si="17">AK5+AJ6</f>
        <v>-67970.112694472162</v>
      </c>
      <c r="AO6" s="255">
        <v>2</v>
      </c>
      <c r="AP6" s="243">
        <f t="shared" si="3"/>
        <v>39495.390048230547</v>
      </c>
      <c r="AQ6" s="243">
        <f t="shared" ref="AQ6:AQ21" si="18">AP6+AQ5</f>
        <v>78220.654825024176</v>
      </c>
      <c r="AR6" s="266">
        <f t="shared" si="4"/>
        <v>1</v>
      </c>
      <c r="AS6" s="254">
        <f t="shared" si="1"/>
        <v>11848.617014469164</v>
      </c>
    </row>
    <row r="7" spans="1:45" ht="16.5" thickBot="1" x14ac:dyDescent="0.3">
      <c r="A7" s="1"/>
      <c r="B7" s="7" t="s">
        <v>5</v>
      </c>
      <c r="C7" s="8"/>
      <c r="D7" s="9"/>
      <c r="E7" s="49">
        <v>0.51849999999999996</v>
      </c>
      <c r="F7" s="47"/>
      <c r="G7" s="47"/>
      <c r="H7" s="1"/>
      <c r="I7" s="1"/>
      <c r="J7" s="568">
        <v>2020</v>
      </c>
      <c r="K7" s="575">
        <f t="shared" ref="K7:K22" si="19">K6*(1-$E$13)</f>
        <v>0.89549999999999996</v>
      </c>
      <c r="L7" s="576">
        <f t="shared" si="5"/>
        <v>1283106.57228</v>
      </c>
      <c r="M7" s="571">
        <f t="shared" si="6"/>
        <v>1245884.04018</v>
      </c>
      <c r="N7" s="572">
        <f t="shared" ref="N7:N22" si="20">N6*(1+$E$12)</f>
        <v>7169.7385000000004</v>
      </c>
      <c r="O7" s="573">
        <f t="shared" ref="O7:O22" si="21">M7*B32</f>
        <v>155455197.16407436</v>
      </c>
      <c r="P7" s="573">
        <f t="shared" ref="P7:P22" si="22">$E$5*K7*1000*$C$26*12</f>
        <v>13312185.634799998</v>
      </c>
      <c r="Q7" s="573">
        <f t="shared" si="7"/>
        <v>10921092.971939038</v>
      </c>
      <c r="R7" s="573">
        <f t="shared" si="8"/>
        <v>6941511.0118744494</v>
      </c>
      <c r="S7" s="573">
        <f t="shared" si="9"/>
        <v>80219207.431038216</v>
      </c>
      <c r="T7" s="574" t="s">
        <v>47</v>
      </c>
      <c r="U7" s="586">
        <f t="shared" ref="U7:U22" si="23">O7+P7-Q7-R7-S7</f>
        <v>70685571.384022668</v>
      </c>
      <c r="V7" s="587">
        <f t="shared" ref="V7:V22" si="24">V6+U7</f>
        <v>-44503916.246964902</v>
      </c>
      <c r="X7" s="255">
        <v>3</v>
      </c>
      <c r="Y7" s="248">
        <f t="shared" si="10"/>
        <v>172790.34945674308</v>
      </c>
      <c r="Z7" s="169">
        <f t="shared" si="11"/>
        <v>101296.6335617466</v>
      </c>
      <c r="AA7" s="244">
        <f t="shared" si="12"/>
        <v>71493.71589499648</v>
      </c>
      <c r="AB7" s="242">
        <f t="shared" ref="AB7:AC21" si="25">AB6</f>
        <v>29246.579531484582</v>
      </c>
      <c r="AC7" s="243">
        <f t="shared" si="25"/>
        <v>1943.6018043075194</v>
      </c>
      <c r="AD7" s="244">
        <f t="shared" si="13"/>
        <v>31190.181335792102</v>
      </c>
      <c r="AE7" s="252">
        <f t="shared" si="14"/>
        <v>40303.534559204374</v>
      </c>
      <c r="AF7" s="252">
        <f t="shared" si="0"/>
        <v>12091.060367761313</v>
      </c>
      <c r="AG7" s="252">
        <f t="shared" si="15"/>
        <v>28212.474191443063</v>
      </c>
      <c r="AH7" s="252">
        <f t="shared" si="16"/>
        <v>31190.181335792102</v>
      </c>
      <c r="AI7" s="255"/>
      <c r="AJ7" s="252">
        <f t="shared" si="2"/>
        <v>59402.655527235169</v>
      </c>
      <c r="AK7" s="252">
        <f t="shared" si="17"/>
        <v>-8567.457167236993</v>
      </c>
      <c r="AO7" s="255">
        <v>3</v>
      </c>
      <c r="AP7" s="243">
        <f t="shared" si="3"/>
        <v>40303.534559204374</v>
      </c>
      <c r="AQ7" s="243">
        <f t="shared" si="18"/>
        <v>118524.18938422855</v>
      </c>
      <c r="AR7" s="266">
        <f t="shared" si="4"/>
        <v>1</v>
      </c>
      <c r="AS7" s="254">
        <f t="shared" si="1"/>
        <v>12091.060367761313</v>
      </c>
    </row>
    <row r="8" spans="1:45" ht="16.5" customHeight="1" thickBot="1" x14ac:dyDescent="0.3">
      <c r="A8" s="1"/>
      <c r="B8" s="7" t="s">
        <v>6</v>
      </c>
      <c r="C8" s="8"/>
      <c r="D8" s="9"/>
      <c r="E8" s="50">
        <f>(E4-E5)/E4</f>
        <v>2.900969639167067E-2</v>
      </c>
      <c r="F8" s="47"/>
      <c r="G8" s="47"/>
      <c r="H8" s="1"/>
      <c r="I8" s="1"/>
      <c r="J8" s="568">
        <v>2021</v>
      </c>
      <c r="K8" s="575">
        <f>K7*(1-$E$13)</f>
        <v>0.89102249999999994</v>
      </c>
      <c r="L8" s="576">
        <f t="shared" si="5"/>
        <v>1276691.0394185998</v>
      </c>
      <c r="M8" s="571">
        <f t="shared" si="6"/>
        <v>1239654.6199790998</v>
      </c>
      <c r="N8" s="572">
        <f t="shared" si="20"/>
        <v>7180.4931077500005</v>
      </c>
      <c r="O8" s="573">
        <f t="shared" si="21"/>
        <v>159544724.75011706</v>
      </c>
      <c r="P8" s="573">
        <f t="shared" si="22"/>
        <v>13245624.706625998</v>
      </c>
      <c r="Q8" s="573">
        <f t="shared" si="7"/>
        <v>10889544.39069687</v>
      </c>
      <c r="R8" s="573">
        <f t="shared" si="8"/>
        <v>6906803.456815077</v>
      </c>
      <c r="S8" s="573">
        <f t="shared" si="9"/>
        <v>83500285.71423465</v>
      </c>
      <c r="T8" s="574" t="s">
        <v>47</v>
      </c>
      <c r="U8" s="586">
        <f t="shared" si="23"/>
        <v>71493715.894996464</v>
      </c>
      <c r="V8" s="586">
        <f t="shared" si="24"/>
        <v>26989799.648031563</v>
      </c>
      <c r="X8" s="281">
        <v>4</v>
      </c>
      <c r="Y8" s="248">
        <f t="shared" si="10"/>
        <v>176041.71474689301</v>
      </c>
      <c r="Z8" s="169">
        <f t="shared" si="11"/>
        <v>103708.52559632204</v>
      </c>
      <c r="AA8" s="244">
        <f t="shared" si="12"/>
        <v>72333.189150570965</v>
      </c>
      <c r="AB8" s="242">
        <f t="shared" si="25"/>
        <v>29246.579531484582</v>
      </c>
      <c r="AC8" s="243">
        <f t="shared" si="25"/>
        <v>1943.6018043075194</v>
      </c>
      <c r="AD8" s="244">
        <f t="shared" si="13"/>
        <v>31190.181335792102</v>
      </c>
      <c r="AE8" s="252">
        <f t="shared" si="14"/>
        <v>41143.007814778859</v>
      </c>
      <c r="AF8" s="252">
        <f t="shared" si="0"/>
        <v>12342.902344433658</v>
      </c>
      <c r="AG8" s="252">
        <f t="shared" si="15"/>
        <v>28800.105470345203</v>
      </c>
      <c r="AH8" s="252">
        <f t="shared" si="16"/>
        <v>31190.181335792102</v>
      </c>
      <c r="AI8" s="255"/>
      <c r="AJ8" s="252">
        <f t="shared" si="2"/>
        <v>59990.286806137301</v>
      </c>
      <c r="AK8" s="252">
        <f t="shared" si="17"/>
        <v>51422.829638900308</v>
      </c>
      <c r="AO8" s="255">
        <v>4</v>
      </c>
      <c r="AP8" s="243">
        <f t="shared" si="3"/>
        <v>41143.007814778859</v>
      </c>
      <c r="AQ8" s="243">
        <f t="shared" si="18"/>
        <v>159667.19719900741</v>
      </c>
      <c r="AR8" s="266">
        <f t="shared" si="4"/>
        <v>1</v>
      </c>
      <c r="AS8" s="254">
        <f t="shared" si="1"/>
        <v>12342.902344433658</v>
      </c>
    </row>
    <row r="9" spans="1:45" ht="16.5" customHeight="1" thickBot="1" x14ac:dyDescent="0.3">
      <c r="A9" s="1"/>
      <c r="B9" s="7" t="s">
        <v>70</v>
      </c>
      <c r="C9" s="8"/>
      <c r="D9" s="9"/>
      <c r="E9" s="97">
        <v>7159</v>
      </c>
      <c r="F9" s="47"/>
      <c r="G9" s="47"/>
      <c r="H9" s="1"/>
      <c r="I9" s="1"/>
      <c r="J9" s="568">
        <v>2022</v>
      </c>
      <c r="K9" s="575">
        <f t="shared" si="19"/>
        <v>0.88656738749999997</v>
      </c>
      <c r="L9" s="576">
        <f t="shared" si="5"/>
        <v>1270307.584221507</v>
      </c>
      <c r="M9" s="571">
        <f t="shared" si="6"/>
        <v>1233456.3468792045</v>
      </c>
      <c r="N9" s="572">
        <f t="shared" si="20"/>
        <v>7191.2638474116256</v>
      </c>
      <c r="O9" s="573">
        <f t="shared" si="21"/>
        <v>162862318.16380015</v>
      </c>
      <c r="P9" s="573">
        <f t="shared" si="22"/>
        <v>13179396.583092868</v>
      </c>
      <c r="Q9" s="573">
        <f t="shared" si="7"/>
        <v>10858153.552360915</v>
      </c>
      <c r="R9" s="573">
        <f t="shared" si="8"/>
        <v>6872269.4395310031</v>
      </c>
      <c r="S9" s="573">
        <f t="shared" si="9"/>
        <v>85978102.604430124</v>
      </c>
      <c r="T9" s="574" t="s">
        <v>47</v>
      </c>
      <c r="U9" s="586">
        <f t="shared" si="23"/>
        <v>72333189.150570974</v>
      </c>
      <c r="V9" s="586">
        <f t="shared" si="24"/>
        <v>99322988.798602536</v>
      </c>
      <c r="X9" s="281">
        <v>5</v>
      </c>
      <c r="Y9" s="248">
        <f t="shared" si="10"/>
        <v>178200.10628587767</v>
      </c>
      <c r="Z9" s="169">
        <f t="shared" si="11"/>
        <v>104980.69163009642</v>
      </c>
      <c r="AA9" s="244">
        <f t="shared" si="12"/>
        <v>73219.414655781249</v>
      </c>
      <c r="AB9" s="242">
        <f t="shared" si="25"/>
        <v>29246.579531484582</v>
      </c>
      <c r="AC9" s="243">
        <f t="shared" si="25"/>
        <v>1943.6018043075194</v>
      </c>
      <c r="AD9" s="244">
        <f t="shared" si="13"/>
        <v>31190.181335792102</v>
      </c>
      <c r="AE9" s="252">
        <f t="shared" si="14"/>
        <v>42029.233319989144</v>
      </c>
      <c r="AF9" s="252">
        <f t="shared" si="0"/>
        <v>12608.769995996743</v>
      </c>
      <c r="AG9" s="252">
        <f t="shared" si="15"/>
        <v>29420.463323992401</v>
      </c>
      <c r="AH9" s="252">
        <f t="shared" si="16"/>
        <v>31190.181335792102</v>
      </c>
      <c r="AI9" s="255"/>
      <c r="AJ9" s="252">
        <f t="shared" si="2"/>
        <v>60610.644659784506</v>
      </c>
      <c r="AK9" s="252">
        <f t="shared" si="17"/>
        <v>112033.47429868481</v>
      </c>
      <c r="AO9" s="255">
        <v>5</v>
      </c>
      <c r="AP9" s="243">
        <f t="shared" si="3"/>
        <v>42029.233319989144</v>
      </c>
      <c r="AQ9" s="243">
        <f t="shared" si="18"/>
        <v>201696.43051899655</v>
      </c>
      <c r="AR9" s="266">
        <f t="shared" si="4"/>
        <v>1</v>
      </c>
      <c r="AS9" s="254">
        <f t="shared" si="1"/>
        <v>12608.769995996743</v>
      </c>
    </row>
    <row r="10" spans="1:45" ht="16.5" customHeight="1" thickBot="1" x14ac:dyDescent="0.3">
      <c r="A10" s="1"/>
      <c r="B10" s="7" t="s">
        <v>27</v>
      </c>
      <c r="C10" s="20"/>
      <c r="D10" s="21"/>
      <c r="E10" s="96">
        <v>45678.7</v>
      </c>
      <c r="F10" s="47"/>
      <c r="G10" s="47"/>
      <c r="H10" s="1"/>
      <c r="I10" s="1"/>
      <c r="J10" s="568">
        <v>2023</v>
      </c>
      <c r="K10" s="575">
        <f t="shared" si="19"/>
        <v>0.88213455056250001</v>
      </c>
      <c r="L10" s="576">
        <f t="shared" si="5"/>
        <v>1263956.0463003994</v>
      </c>
      <c r="M10" s="571">
        <f t="shared" si="6"/>
        <v>1227289.0651448085</v>
      </c>
      <c r="N10" s="572">
        <f t="shared" si="20"/>
        <v>7202.0507431827436</v>
      </c>
      <c r="O10" s="573">
        <f t="shared" si="21"/>
        <v>165086606.68570027</v>
      </c>
      <c r="P10" s="573">
        <f t="shared" si="22"/>
        <v>13113499.600177405</v>
      </c>
      <c r="Q10" s="573">
        <f t="shared" si="7"/>
        <v>10826919.668216635</v>
      </c>
      <c r="R10" s="573">
        <f t="shared" si="8"/>
        <v>6837908.0923333475</v>
      </c>
      <c r="S10" s="573">
        <f t="shared" si="9"/>
        <v>87315863.869546443</v>
      </c>
      <c r="T10" s="574" t="s">
        <v>47</v>
      </c>
      <c r="U10" s="586">
        <f t="shared" si="23"/>
        <v>73219414.655781239</v>
      </c>
      <c r="V10" s="586">
        <f t="shared" si="24"/>
        <v>172542403.45438379</v>
      </c>
      <c r="X10" s="255">
        <v>6</v>
      </c>
      <c r="Y10" s="248">
        <f t="shared" si="10"/>
        <v>180276.46746583609</v>
      </c>
      <c r="Z10" s="169">
        <f t="shared" si="11"/>
        <v>106156.76562526078</v>
      </c>
      <c r="AA10" s="244">
        <f t="shared" si="12"/>
        <v>74119.701840575304</v>
      </c>
      <c r="AB10" s="242">
        <f t="shared" si="25"/>
        <v>29246.579531484582</v>
      </c>
      <c r="AC10" s="243">
        <f t="shared" si="25"/>
        <v>1943.6018043075194</v>
      </c>
      <c r="AD10" s="244">
        <f t="shared" si="13"/>
        <v>31190.181335792102</v>
      </c>
      <c r="AE10" s="252">
        <f t="shared" si="14"/>
        <v>42929.520504783199</v>
      </c>
      <c r="AF10" s="252">
        <f t="shared" si="0"/>
        <v>12878.856151434959</v>
      </c>
      <c r="AG10" s="252">
        <f t="shared" si="15"/>
        <v>30050.664353348242</v>
      </c>
      <c r="AH10" s="252">
        <f t="shared" si="16"/>
        <v>31190.181335792102</v>
      </c>
      <c r="AI10" s="255"/>
      <c r="AJ10" s="252">
        <f t="shared" si="2"/>
        <v>61240.845689140348</v>
      </c>
      <c r="AK10" s="252">
        <f t="shared" si="17"/>
        <v>173274.31998782518</v>
      </c>
      <c r="AO10" s="255">
        <v>6</v>
      </c>
      <c r="AP10" s="243">
        <f t="shared" si="3"/>
        <v>42929.520504783199</v>
      </c>
      <c r="AQ10" s="243">
        <f t="shared" si="18"/>
        <v>244625.95102377975</v>
      </c>
      <c r="AR10" s="266">
        <f t="shared" si="4"/>
        <v>1</v>
      </c>
      <c r="AS10" s="254">
        <f t="shared" si="1"/>
        <v>12878.856151434959</v>
      </c>
    </row>
    <row r="11" spans="1:45" ht="16.5" customHeight="1" thickBot="1" x14ac:dyDescent="0.3">
      <c r="A11" s="1"/>
      <c r="B11" s="22" t="s">
        <v>12</v>
      </c>
      <c r="C11" s="23"/>
      <c r="D11" s="24"/>
      <c r="E11" s="51">
        <v>8760</v>
      </c>
      <c r="F11" s="47"/>
      <c r="G11" s="47"/>
      <c r="H11" s="1"/>
      <c r="I11" s="1"/>
      <c r="J11" s="568">
        <v>2024</v>
      </c>
      <c r="K11" s="575">
        <f t="shared" si="19"/>
        <v>0.87772387780968752</v>
      </c>
      <c r="L11" s="576">
        <f t="shared" si="5"/>
        <v>1257636.2660688977</v>
      </c>
      <c r="M11" s="571">
        <f t="shared" si="6"/>
        <v>1221152.6198190844</v>
      </c>
      <c r="N11" s="572">
        <f t="shared" si="20"/>
        <v>7212.8538192975184</v>
      </c>
      <c r="O11" s="573">
        <f t="shared" si="21"/>
        <v>167228535.36365956</v>
      </c>
      <c r="P11" s="573">
        <f t="shared" si="22"/>
        <v>13047932.102176517</v>
      </c>
      <c r="Q11" s="573">
        <f t="shared" si="7"/>
        <v>10795841.953493081</v>
      </c>
      <c r="R11" s="573">
        <f t="shared" si="8"/>
        <v>6803718.5518716807</v>
      </c>
      <c r="S11" s="573">
        <f t="shared" si="9"/>
        <v>88557205.119896024</v>
      </c>
      <c r="T11" s="574" t="s">
        <v>47</v>
      </c>
      <c r="U11" s="586">
        <f t="shared" si="23"/>
        <v>74119701.840575278</v>
      </c>
      <c r="V11" s="586">
        <f t="shared" si="24"/>
        <v>246662105.29495907</v>
      </c>
      <c r="X11" s="255">
        <v>7</v>
      </c>
      <c r="Y11" s="248">
        <f t="shared" si="10"/>
        <v>183426.58624450272</v>
      </c>
      <c r="Z11" s="169">
        <f t="shared" si="11"/>
        <v>108437.17566124885</v>
      </c>
      <c r="AA11" s="244">
        <f t="shared" si="12"/>
        <v>74989.410583253863</v>
      </c>
      <c r="AB11" s="242">
        <f t="shared" si="25"/>
        <v>29246.579531484582</v>
      </c>
      <c r="AC11" s="243">
        <f t="shared" si="25"/>
        <v>1943.6018043075194</v>
      </c>
      <c r="AD11" s="244">
        <f t="shared" si="13"/>
        <v>31190.181335792102</v>
      </c>
      <c r="AE11" s="252">
        <f t="shared" si="14"/>
        <v>43799.229247461757</v>
      </c>
      <c r="AF11" s="252">
        <f t="shared" si="0"/>
        <v>13139.768774238526</v>
      </c>
      <c r="AG11" s="252">
        <f t="shared" si="15"/>
        <v>30659.460473223233</v>
      </c>
      <c r="AH11" s="252">
        <f t="shared" si="16"/>
        <v>31190.181335792102</v>
      </c>
      <c r="AI11" s="255"/>
      <c r="AJ11" s="252">
        <f t="shared" si="2"/>
        <v>61849.641809015331</v>
      </c>
      <c r="AK11" s="252">
        <f t="shared" si="17"/>
        <v>235123.96179684051</v>
      </c>
      <c r="AO11" s="255">
        <v>7</v>
      </c>
      <c r="AP11" s="243">
        <f t="shared" si="3"/>
        <v>43799.229247461757</v>
      </c>
      <c r="AQ11" s="243">
        <f t="shared" si="18"/>
        <v>288425.18027124152</v>
      </c>
      <c r="AR11" s="266">
        <f t="shared" si="4"/>
        <v>1</v>
      </c>
      <c r="AS11" s="254">
        <f t="shared" si="1"/>
        <v>13139.768774238526</v>
      </c>
    </row>
    <row r="12" spans="1:45" ht="16.5" customHeight="1" thickBot="1" x14ac:dyDescent="0.3">
      <c r="A12" s="1"/>
      <c r="B12" s="306" t="s">
        <v>13</v>
      </c>
      <c r="C12" s="307"/>
      <c r="D12" s="308"/>
      <c r="E12" s="25">
        <v>1.5E-3</v>
      </c>
      <c r="F12" s="47"/>
      <c r="G12" s="46"/>
      <c r="H12" s="1"/>
      <c r="I12" s="1"/>
      <c r="J12" s="568">
        <v>2025</v>
      </c>
      <c r="K12" s="575">
        <f t="shared" si="19"/>
        <v>0.87333525842063908</v>
      </c>
      <c r="L12" s="576">
        <f t="shared" si="5"/>
        <v>1251348.084738553</v>
      </c>
      <c r="M12" s="571">
        <f t="shared" si="6"/>
        <v>1215046.8567199891</v>
      </c>
      <c r="N12" s="572">
        <f t="shared" si="20"/>
        <v>7223.6731000264654</v>
      </c>
      <c r="O12" s="573">
        <f t="shared" si="21"/>
        <v>170443893.80283707</v>
      </c>
      <c r="P12" s="573">
        <f t="shared" si="22"/>
        <v>12982692.441665638</v>
      </c>
      <c r="Q12" s="573">
        <f t="shared" si="7"/>
        <v>10764919.627343141</v>
      </c>
      <c r="R12" s="573">
        <f t="shared" si="8"/>
        <v>6769699.9591123229</v>
      </c>
      <c r="S12" s="573">
        <f t="shared" si="9"/>
        <v>90902556.074793383</v>
      </c>
      <c r="T12" s="574" t="s">
        <v>47</v>
      </c>
      <c r="U12" s="586">
        <f t="shared" si="23"/>
        <v>74989410.583253875</v>
      </c>
      <c r="V12" s="586">
        <f t="shared" si="24"/>
        <v>321651515.87821293</v>
      </c>
      <c r="X12" s="255">
        <v>8</v>
      </c>
      <c r="Y12" s="248">
        <f t="shared" si="10"/>
        <v>186322.14041196156</v>
      </c>
      <c r="Z12" s="169">
        <f t="shared" si="11"/>
        <v>110444.24090875164</v>
      </c>
      <c r="AA12" s="244">
        <f t="shared" si="12"/>
        <v>75877.899503209919</v>
      </c>
      <c r="AB12" s="242">
        <f t="shared" si="25"/>
        <v>29246.579531484582</v>
      </c>
      <c r="AC12" s="243">
        <f t="shared" si="25"/>
        <v>1943.6018043075194</v>
      </c>
      <c r="AD12" s="244">
        <f t="shared" si="13"/>
        <v>31190.181335792102</v>
      </c>
      <c r="AE12" s="252">
        <f t="shared" si="14"/>
        <v>44687.718167417814</v>
      </c>
      <c r="AF12" s="252">
        <f t="shared" si="0"/>
        <v>13406.315450225344</v>
      </c>
      <c r="AG12" s="252">
        <f t="shared" si="15"/>
        <v>31281.402717192468</v>
      </c>
      <c r="AH12" s="252">
        <f t="shared" si="16"/>
        <v>31190.181335792102</v>
      </c>
      <c r="AI12" s="255"/>
      <c r="AJ12" s="252">
        <f t="shared" si="2"/>
        <v>62471.584052984574</v>
      </c>
      <c r="AK12" s="252">
        <f t="shared" si="17"/>
        <v>297595.54584982508</v>
      </c>
      <c r="AO12" s="255">
        <v>8</v>
      </c>
      <c r="AP12" s="243">
        <f t="shared" si="3"/>
        <v>44687.718167417814</v>
      </c>
      <c r="AQ12" s="243">
        <f t="shared" si="18"/>
        <v>333112.89843865932</v>
      </c>
      <c r="AR12" s="266">
        <f t="shared" si="4"/>
        <v>1</v>
      </c>
      <c r="AS12" s="254">
        <f t="shared" si="1"/>
        <v>13406.315450225344</v>
      </c>
    </row>
    <row r="13" spans="1:45" ht="16.5" customHeight="1" thickBot="1" x14ac:dyDescent="0.3">
      <c r="A13" s="1"/>
      <c r="B13" s="306" t="s">
        <v>14</v>
      </c>
      <c r="C13" s="307"/>
      <c r="D13" s="308"/>
      <c r="E13" s="25">
        <v>5.0000000000000001E-3</v>
      </c>
      <c r="F13" s="48"/>
      <c r="G13" s="48"/>
      <c r="H13" s="1"/>
      <c r="I13" s="1"/>
      <c r="J13" s="568">
        <v>2026</v>
      </c>
      <c r="K13" s="575">
        <f t="shared" si="19"/>
        <v>0.86896858212853589</v>
      </c>
      <c r="L13" s="576">
        <f t="shared" si="5"/>
        <v>1245091.3443148602</v>
      </c>
      <c r="M13" s="571">
        <f t="shared" si="6"/>
        <v>1208971.6224363891</v>
      </c>
      <c r="N13" s="572">
        <f t="shared" si="20"/>
        <v>7234.5086096765053</v>
      </c>
      <c r="O13" s="573">
        <f t="shared" si="21"/>
        <v>173404361.43250424</v>
      </c>
      <c r="P13" s="573">
        <f t="shared" si="22"/>
        <v>12917778.979457308</v>
      </c>
      <c r="Q13" s="573">
        <f t="shared" si="7"/>
        <v>10734151.912823953</v>
      </c>
      <c r="R13" s="573">
        <f t="shared" si="8"/>
        <v>6735851.4593167603</v>
      </c>
      <c r="S13" s="573">
        <f t="shared" si="9"/>
        <v>92974237.536610916</v>
      </c>
      <c r="T13" s="574" t="s">
        <v>47</v>
      </c>
      <c r="U13" s="586">
        <f t="shared" si="23"/>
        <v>75877899.503209934</v>
      </c>
      <c r="V13" s="586">
        <f t="shared" si="24"/>
        <v>397529415.38142288</v>
      </c>
      <c r="X13" s="255">
        <v>9</v>
      </c>
      <c r="Y13" s="248">
        <f t="shared" si="10"/>
        <v>188525.11720114425</v>
      </c>
      <c r="Z13" s="169">
        <f t="shared" si="11"/>
        <v>111585.21469352159</v>
      </c>
      <c r="AA13" s="244">
        <f t="shared" si="12"/>
        <v>76939.902507622668</v>
      </c>
      <c r="AB13" s="242">
        <f t="shared" si="25"/>
        <v>29246.579531484582</v>
      </c>
      <c r="AC13" s="243">
        <f t="shared" si="25"/>
        <v>1943.6018043075194</v>
      </c>
      <c r="AD13" s="244">
        <f t="shared" si="13"/>
        <v>31190.181335792102</v>
      </c>
      <c r="AE13" s="252">
        <f t="shared" si="14"/>
        <v>45749.721171830563</v>
      </c>
      <c r="AF13" s="252">
        <f t="shared" si="0"/>
        <v>13724.916351549169</v>
      </c>
      <c r="AG13" s="252">
        <f t="shared" si="15"/>
        <v>32024.804820281395</v>
      </c>
      <c r="AH13" s="252">
        <f t="shared" si="16"/>
        <v>31190.181335792102</v>
      </c>
      <c r="AI13" s="255"/>
      <c r="AJ13" s="252">
        <f t="shared" si="2"/>
        <v>63214.986156073501</v>
      </c>
      <c r="AK13" s="252">
        <f t="shared" si="17"/>
        <v>360810.5320058986</v>
      </c>
      <c r="AO13" s="255">
        <v>9</v>
      </c>
      <c r="AP13" s="243">
        <f t="shared" si="3"/>
        <v>45749.721171830563</v>
      </c>
      <c r="AQ13" s="243">
        <f t="shared" si="18"/>
        <v>378862.61961048987</v>
      </c>
      <c r="AR13" s="266">
        <f t="shared" si="4"/>
        <v>1</v>
      </c>
      <c r="AS13" s="254">
        <f t="shared" si="1"/>
        <v>13724.916351549169</v>
      </c>
    </row>
    <row r="14" spans="1:45" ht="16.5" customHeight="1" thickBot="1" x14ac:dyDescent="0.3">
      <c r="A14" s="1"/>
      <c r="B14" s="740" t="s">
        <v>25</v>
      </c>
      <c r="C14" s="741"/>
      <c r="D14" s="742"/>
      <c r="E14" s="26">
        <v>9.47817E-7</v>
      </c>
      <c r="F14" s="48"/>
      <c r="G14" s="48"/>
      <c r="H14" s="1"/>
      <c r="I14" s="1"/>
      <c r="J14" s="568">
        <v>2027</v>
      </c>
      <c r="K14" s="575">
        <f t="shared" si="19"/>
        <v>0.86462373921789326</v>
      </c>
      <c r="L14" s="576">
        <f t="shared" si="5"/>
        <v>1238865.8875932861</v>
      </c>
      <c r="M14" s="571">
        <f t="shared" si="6"/>
        <v>1202926.7643242071</v>
      </c>
      <c r="N14" s="572">
        <f t="shared" si="20"/>
        <v>7245.3603725910207</v>
      </c>
      <c r="O14" s="573">
        <f t="shared" si="21"/>
        <v>175671927.11658421</v>
      </c>
      <c r="P14" s="573">
        <f t="shared" si="22"/>
        <v>12853190.084560024</v>
      </c>
      <c r="Q14" s="573">
        <f t="shared" si="7"/>
        <v>10703538.03687736</v>
      </c>
      <c r="R14" s="573">
        <f t="shared" si="8"/>
        <v>6702172.2020201776</v>
      </c>
      <c r="S14" s="573">
        <f t="shared" si="9"/>
        <v>94179504.454624042</v>
      </c>
      <c r="T14" s="574" t="s">
        <v>47</v>
      </c>
      <c r="U14" s="586">
        <f t="shared" si="23"/>
        <v>76939902.507622674</v>
      </c>
      <c r="V14" s="586">
        <f t="shared" si="24"/>
        <v>474469317.88904554</v>
      </c>
      <c r="X14" s="255">
        <v>10</v>
      </c>
      <c r="Y14" s="248">
        <f t="shared" si="10"/>
        <v>189660.27272417652</v>
      </c>
      <c r="Z14" s="169">
        <f t="shared" si="11"/>
        <v>111869.13186370143</v>
      </c>
      <c r="AA14" s="244">
        <f t="shared" si="12"/>
        <v>77791.14086047509</v>
      </c>
      <c r="AB14" s="242">
        <f t="shared" si="25"/>
        <v>29246.579531484582</v>
      </c>
      <c r="AC14" s="243">
        <f t="shared" si="25"/>
        <v>1943.6018043075194</v>
      </c>
      <c r="AD14" s="244">
        <f t="shared" si="13"/>
        <v>31190.181335792102</v>
      </c>
      <c r="AE14" s="252">
        <f t="shared" si="14"/>
        <v>46600.959524682985</v>
      </c>
      <c r="AF14" s="252">
        <f t="shared" si="0"/>
        <v>13980.287857404895</v>
      </c>
      <c r="AG14" s="252">
        <f t="shared" si="15"/>
        <v>32620.671667278089</v>
      </c>
      <c r="AH14" s="252">
        <f t="shared" si="16"/>
        <v>31190.181335792102</v>
      </c>
      <c r="AI14" s="255"/>
      <c r="AJ14" s="252">
        <f t="shared" si="2"/>
        <v>63810.853003070195</v>
      </c>
      <c r="AK14" s="252">
        <f t="shared" si="17"/>
        <v>424621.38500896876</v>
      </c>
      <c r="AO14" s="255">
        <v>10</v>
      </c>
      <c r="AP14" s="243">
        <f t="shared" si="3"/>
        <v>46600.959524682985</v>
      </c>
      <c r="AQ14" s="243">
        <f t="shared" si="18"/>
        <v>425463.57913517288</v>
      </c>
      <c r="AR14" s="266">
        <f t="shared" si="4"/>
        <v>1</v>
      </c>
      <c r="AS14" s="254">
        <f t="shared" si="1"/>
        <v>13980.287857404895</v>
      </c>
    </row>
    <row r="15" spans="1:45" ht="16.5" customHeight="1" thickBot="1" x14ac:dyDescent="0.3">
      <c r="A15" s="1"/>
      <c r="B15" s="740" t="s">
        <v>71</v>
      </c>
      <c r="C15" s="741"/>
      <c r="D15" s="742"/>
      <c r="E15" s="88">
        <v>190753.42</v>
      </c>
      <c r="F15" s="48"/>
      <c r="G15" s="48"/>
      <c r="H15" s="1"/>
      <c r="I15" s="1"/>
      <c r="J15" s="568">
        <v>2028</v>
      </c>
      <c r="K15" s="575">
        <f t="shared" si="19"/>
        <v>0.86030062052180378</v>
      </c>
      <c r="L15" s="576">
        <f t="shared" si="5"/>
        <v>1232671.5581553197</v>
      </c>
      <c r="M15" s="571">
        <f t="shared" si="6"/>
        <v>1196912.1305025863</v>
      </c>
      <c r="N15" s="572">
        <f t="shared" si="20"/>
        <v>7256.2284131499073</v>
      </c>
      <c r="O15" s="573">
        <f t="shared" si="21"/>
        <v>176871348.59003931</v>
      </c>
      <c r="P15" s="573">
        <f t="shared" si="22"/>
        <v>12788924.134137221</v>
      </c>
      <c r="Q15" s="573">
        <f t="shared" si="7"/>
        <v>10673077.2303105</v>
      </c>
      <c r="R15" s="573">
        <f t="shared" si="8"/>
        <v>6668661.3410100769</v>
      </c>
      <c r="S15" s="573">
        <f t="shared" si="9"/>
        <v>94527393.292380854</v>
      </c>
      <c r="T15" s="574" t="s">
        <v>47</v>
      </c>
      <c r="U15" s="586">
        <f t="shared" si="23"/>
        <v>77791140.860475108</v>
      </c>
      <c r="V15" s="586">
        <f t="shared" si="24"/>
        <v>552260458.74952066</v>
      </c>
      <c r="X15" s="255">
        <v>11</v>
      </c>
      <c r="Y15" s="248">
        <f t="shared" si="10"/>
        <v>191663.31974923456</v>
      </c>
      <c r="Z15" s="169">
        <f t="shared" si="11"/>
        <v>112910.09495686329</v>
      </c>
      <c r="AA15" s="244">
        <f t="shared" si="12"/>
        <v>78753.224792371271</v>
      </c>
      <c r="AB15" s="242">
        <v>0</v>
      </c>
      <c r="AC15" s="243">
        <f t="shared" si="25"/>
        <v>1943.6018043075194</v>
      </c>
      <c r="AD15" s="244">
        <f t="shared" si="13"/>
        <v>1943.6018043075194</v>
      </c>
      <c r="AE15" s="252">
        <f t="shared" si="14"/>
        <v>76809.622988063755</v>
      </c>
      <c r="AF15" s="252">
        <f t="shared" si="0"/>
        <v>23042.886896419124</v>
      </c>
      <c r="AG15" s="252">
        <f t="shared" si="15"/>
        <v>53766.736091644634</v>
      </c>
      <c r="AH15" s="252">
        <f t="shared" si="16"/>
        <v>1943.6018043075194</v>
      </c>
      <c r="AI15" s="255"/>
      <c r="AJ15" s="252">
        <f t="shared" si="2"/>
        <v>55710.337895952151</v>
      </c>
      <c r="AK15" s="252">
        <f t="shared" si="17"/>
        <v>480331.72290492093</v>
      </c>
      <c r="AO15" s="255">
        <v>11</v>
      </c>
      <c r="AP15" s="243">
        <f t="shared" si="3"/>
        <v>76809.622988063755</v>
      </c>
      <c r="AQ15" s="243">
        <f t="shared" si="18"/>
        <v>502273.20212323661</v>
      </c>
      <c r="AR15" s="266">
        <f t="shared" si="4"/>
        <v>1</v>
      </c>
      <c r="AS15" s="254">
        <f t="shared" si="1"/>
        <v>23042.886896419124</v>
      </c>
    </row>
    <row r="16" spans="1:45" ht="16.5" thickBot="1" x14ac:dyDescent="0.3">
      <c r="A16" s="1"/>
      <c r="B16" s="740" t="s">
        <v>73</v>
      </c>
      <c r="C16" s="741"/>
      <c r="D16" s="742"/>
      <c r="E16" s="99">
        <v>4.5780000000000003</v>
      </c>
      <c r="F16" s="1"/>
      <c r="G16" s="1"/>
      <c r="H16" s="1"/>
      <c r="I16" s="1"/>
      <c r="J16" s="568">
        <v>2029</v>
      </c>
      <c r="K16" s="575">
        <f t="shared" si="19"/>
        <v>0.85599911741919477</v>
      </c>
      <c r="L16" s="576">
        <f t="shared" si="5"/>
        <v>1226508.2003645431</v>
      </c>
      <c r="M16" s="571">
        <f t="shared" si="6"/>
        <v>1190927.5698500732</v>
      </c>
      <c r="N16" s="572">
        <f t="shared" si="20"/>
        <v>7267.1127557696327</v>
      </c>
      <c r="O16" s="573">
        <f t="shared" si="21"/>
        <v>178938340.23576802</v>
      </c>
      <c r="P16" s="573">
        <f t="shared" si="22"/>
        <v>12724979.513466535</v>
      </c>
      <c r="Q16" s="573">
        <f t="shared" si="7"/>
        <v>10642768.727776475</v>
      </c>
      <c r="R16" s="573">
        <f t="shared" si="8"/>
        <v>6635318.0343050258</v>
      </c>
      <c r="S16" s="573">
        <f t="shared" si="9"/>
        <v>95632008.194781795</v>
      </c>
      <c r="T16" s="574" t="s">
        <v>47</v>
      </c>
      <c r="U16" s="586">
        <f t="shared" si="23"/>
        <v>78753224.792371258</v>
      </c>
      <c r="V16" s="586">
        <f t="shared" si="24"/>
        <v>631013683.54189193</v>
      </c>
      <c r="X16" s="255">
        <v>12</v>
      </c>
      <c r="Y16" s="248">
        <f t="shared" si="10"/>
        <v>194796.33618437598</v>
      </c>
      <c r="Z16" s="169">
        <f t="shared" si="11"/>
        <v>115121.04410498303</v>
      </c>
      <c r="AA16" s="244">
        <f t="shared" si="12"/>
        <v>79675.292079392952</v>
      </c>
      <c r="AB16" s="242">
        <v>0</v>
      </c>
      <c r="AC16" s="243">
        <f t="shared" si="25"/>
        <v>1943.6018043075194</v>
      </c>
      <c r="AD16" s="244">
        <f t="shared" si="13"/>
        <v>1943.6018043075194</v>
      </c>
      <c r="AE16" s="252">
        <f t="shared" si="14"/>
        <v>77731.690275085435</v>
      </c>
      <c r="AF16" s="252">
        <f t="shared" si="0"/>
        <v>23319.50708252563</v>
      </c>
      <c r="AG16" s="252">
        <f t="shared" si="15"/>
        <v>54412.183192559809</v>
      </c>
      <c r="AH16" s="252">
        <f t="shared" si="16"/>
        <v>1943.6018043075194</v>
      </c>
      <c r="AI16" s="255"/>
      <c r="AJ16" s="252">
        <f t="shared" si="2"/>
        <v>56355.784996867325</v>
      </c>
      <c r="AK16" s="252">
        <f t="shared" si="17"/>
        <v>536687.50790178822</v>
      </c>
      <c r="AO16" s="255">
        <v>12</v>
      </c>
      <c r="AP16" s="243">
        <f t="shared" si="3"/>
        <v>77731.690275085435</v>
      </c>
      <c r="AQ16" s="243">
        <f t="shared" si="18"/>
        <v>580004.892398322</v>
      </c>
      <c r="AR16" s="266">
        <f t="shared" si="4"/>
        <v>1</v>
      </c>
      <c r="AS16" s="254">
        <f t="shared" si="1"/>
        <v>23319.50708252563</v>
      </c>
    </row>
    <row r="17" spans="1:50" ht="16.5" thickBot="1" x14ac:dyDescent="0.3">
      <c r="A17" s="1"/>
      <c r="B17" s="740" t="s">
        <v>72</v>
      </c>
      <c r="C17" s="741"/>
      <c r="D17" s="742"/>
      <c r="E17" s="98">
        <v>1014.48</v>
      </c>
      <c r="F17" s="228">
        <f>E17*8760*K6*1000^-1*E18</f>
        <v>91538.944862400022</v>
      </c>
      <c r="G17" s="313">
        <f>E17/E15</f>
        <v>5.318279483534292E-3</v>
      </c>
      <c r="H17" s="1"/>
      <c r="I17" s="1"/>
      <c r="J17" s="568">
        <v>2030</v>
      </c>
      <c r="K17" s="575">
        <f t="shared" si="19"/>
        <v>0.85171912183209875</v>
      </c>
      <c r="L17" s="576">
        <f t="shared" si="5"/>
        <v>1220375.6593627203</v>
      </c>
      <c r="M17" s="571">
        <f t="shared" si="6"/>
        <v>1184972.9320008229</v>
      </c>
      <c r="N17" s="572">
        <f t="shared" si="20"/>
        <v>7278.0134249032872</v>
      </c>
      <c r="O17" s="573">
        <f t="shared" si="21"/>
        <v>182134981.56847677</v>
      </c>
      <c r="P17" s="573">
        <f t="shared" si="22"/>
        <v>12661354.615899201</v>
      </c>
      <c r="Q17" s="573">
        <f t="shared" si="7"/>
        <v>10612611.767755117</v>
      </c>
      <c r="R17" s="573">
        <f t="shared" si="8"/>
        <v>6602141.4441335006</v>
      </c>
      <c r="S17" s="573">
        <f t="shared" si="9"/>
        <v>97906290.89309442</v>
      </c>
      <c r="T17" s="574" t="s">
        <v>47</v>
      </c>
      <c r="U17" s="586">
        <f t="shared" si="23"/>
        <v>79675292.07939294</v>
      </c>
      <c r="V17" s="586">
        <f t="shared" si="24"/>
        <v>710688975.62128484</v>
      </c>
      <c r="X17" s="255">
        <v>13</v>
      </c>
      <c r="Y17" s="248">
        <f t="shared" si="10"/>
        <v>197682.67951964075</v>
      </c>
      <c r="Z17" s="169">
        <f t="shared" si="11"/>
        <v>117063.51236740386</v>
      </c>
      <c r="AA17" s="244">
        <f t="shared" si="12"/>
        <v>80619.167152236885</v>
      </c>
      <c r="AB17" s="242">
        <v>0</v>
      </c>
      <c r="AC17" s="243">
        <f t="shared" si="25"/>
        <v>1943.6018043075194</v>
      </c>
      <c r="AD17" s="244">
        <f t="shared" si="13"/>
        <v>1943.6018043075194</v>
      </c>
      <c r="AE17" s="252">
        <f t="shared" si="14"/>
        <v>78675.565347929369</v>
      </c>
      <c r="AF17" s="252">
        <f t="shared" si="0"/>
        <v>23602.669604378811</v>
      </c>
      <c r="AG17" s="252">
        <f t="shared" si="15"/>
        <v>55072.895743550558</v>
      </c>
      <c r="AH17" s="252">
        <f t="shared" si="16"/>
        <v>1943.6018043075194</v>
      </c>
      <c r="AI17" s="255"/>
      <c r="AJ17" s="252">
        <f t="shared" si="2"/>
        <v>57016.497547858075</v>
      </c>
      <c r="AK17" s="252">
        <f t="shared" si="17"/>
        <v>593704.00544964627</v>
      </c>
      <c r="AO17" s="255">
        <v>13</v>
      </c>
      <c r="AP17" s="243">
        <f t="shared" si="3"/>
        <v>78675.565347929369</v>
      </c>
      <c r="AQ17" s="243">
        <f t="shared" si="18"/>
        <v>658680.45774625137</v>
      </c>
      <c r="AR17" s="266">
        <f t="shared" si="4"/>
        <v>1</v>
      </c>
      <c r="AS17" s="254">
        <f t="shared" si="1"/>
        <v>23602.669604378811</v>
      </c>
    </row>
    <row r="18" spans="1:50" ht="16.5" thickBot="1" x14ac:dyDescent="0.3">
      <c r="A18" s="1"/>
      <c r="B18" s="740" t="s">
        <v>74</v>
      </c>
      <c r="C18" s="741"/>
      <c r="D18" s="742"/>
      <c r="E18" s="99">
        <f>2.5*E16</f>
        <v>11.445</v>
      </c>
      <c r="F18" s="1"/>
      <c r="G18" s="1"/>
      <c r="H18" s="1"/>
      <c r="I18" s="1"/>
      <c r="J18" s="568">
        <v>2031</v>
      </c>
      <c r="K18" s="575">
        <f t="shared" si="19"/>
        <v>0.84746052622293822</v>
      </c>
      <c r="L18" s="576">
        <f t="shared" si="5"/>
        <v>1214273.7810659064</v>
      </c>
      <c r="M18" s="571">
        <f t="shared" si="6"/>
        <v>1179048.0673408187</v>
      </c>
      <c r="N18" s="572">
        <f t="shared" si="20"/>
        <v>7288.9304450406426</v>
      </c>
      <c r="O18" s="573">
        <f t="shared" si="21"/>
        <v>185084631.67682102</v>
      </c>
      <c r="P18" s="573">
        <f t="shared" si="22"/>
        <v>12598047.842819706</v>
      </c>
      <c r="Q18" s="573">
        <f t="shared" si="7"/>
        <v>10582605.592533868</v>
      </c>
      <c r="R18" s="573">
        <f t="shared" si="8"/>
        <v>6569130.7369128326</v>
      </c>
      <c r="S18" s="573">
        <f t="shared" si="9"/>
        <v>99911776.037957162</v>
      </c>
      <c r="T18" s="574" t="s">
        <v>47</v>
      </c>
      <c r="U18" s="586">
        <f t="shared" si="23"/>
        <v>80619167.152236879</v>
      </c>
      <c r="V18" s="586">
        <f t="shared" si="24"/>
        <v>791308142.77352166</v>
      </c>
      <c r="X18" s="255">
        <v>14</v>
      </c>
      <c r="Y18" s="248">
        <f t="shared" si="10"/>
        <v>200963.16371848382</v>
      </c>
      <c r="Z18" s="169">
        <f t="shared" si="11"/>
        <v>119408.99643889719</v>
      </c>
      <c r="AA18" s="244">
        <f t="shared" si="12"/>
        <v>81554.167279586633</v>
      </c>
      <c r="AB18" s="242">
        <v>0</v>
      </c>
      <c r="AC18" s="243">
        <f t="shared" si="25"/>
        <v>1943.6018043075194</v>
      </c>
      <c r="AD18" s="244">
        <f t="shared" si="13"/>
        <v>1943.6018043075194</v>
      </c>
      <c r="AE18" s="252">
        <f t="shared" si="14"/>
        <v>79610.565475279116</v>
      </c>
      <c r="AF18" s="252">
        <f t="shared" si="0"/>
        <v>23883.169642583733</v>
      </c>
      <c r="AG18" s="252">
        <f t="shared" si="15"/>
        <v>55727.395832695387</v>
      </c>
      <c r="AH18" s="252">
        <f t="shared" si="16"/>
        <v>1943.6018043075194</v>
      </c>
      <c r="AI18" s="255"/>
      <c r="AJ18" s="252">
        <f t="shared" si="2"/>
        <v>57670.997637002904</v>
      </c>
      <c r="AK18" s="252">
        <f t="shared" si="17"/>
        <v>651375.00308664911</v>
      </c>
      <c r="AO18" s="255">
        <v>14</v>
      </c>
      <c r="AP18" s="243">
        <f t="shared" si="3"/>
        <v>79610.565475279116</v>
      </c>
      <c r="AQ18" s="243">
        <f t="shared" si="18"/>
        <v>738291.02322153049</v>
      </c>
      <c r="AR18" s="266">
        <f t="shared" si="4"/>
        <v>1</v>
      </c>
      <c r="AS18" s="254">
        <f t="shared" si="1"/>
        <v>23883.169642583733</v>
      </c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568">
        <v>2032</v>
      </c>
      <c r="K19" s="575">
        <f t="shared" si="19"/>
        <v>0.84322322359182356</v>
      </c>
      <c r="L19" s="576">
        <f t="shared" si="5"/>
        <v>1208202.412160577</v>
      </c>
      <c r="M19" s="571">
        <f t="shared" si="6"/>
        <v>1173152.8270041146</v>
      </c>
      <c r="N19" s="572">
        <f t="shared" si="20"/>
        <v>7299.8638407082035</v>
      </c>
      <c r="O19" s="573">
        <f t="shared" si="21"/>
        <v>188428106.11487821</v>
      </c>
      <c r="P19" s="573">
        <f t="shared" si="22"/>
        <v>12535057.603605608</v>
      </c>
      <c r="Q19" s="573">
        <f t="shared" si="7"/>
        <v>10552749.448188726</v>
      </c>
      <c r="R19" s="573">
        <f t="shared" si="8"/>
        <v>6536285.0832282687</v>
      </c>
      <c r="S19" s="573">
        <f t="shared" si="9"/>
        <v>102319961.9074802</v>
      </c>
      <c r="T19" s="574" t="s">
        <v>47</v>
      </c>
      <c r="U19" s="586">
        <f t="shared" si="23"/>
        <v>81554167.279586628</v>
      </c>
      <c r="V19" s="586">
        <f t="shared" si="24"/>
        <v>872862310.05310833</v>
      </c>
      <c r="X19" s="255">
        <v>15</v>
      </c>
      <c r="Y19" s="248">
        <f t="shared" si="10"/>
        <v>201780.79644366429</v>
      </c>
      <c r="Z19" s="169">
        <f t="shared" si="11"/>
        <v>119154.32394660619</v>
      </c>
      <c r="AA19" s="244">
        <f t="shared" si="12"/>
        <v>82626.472497058101</v>
      </c>
      <c r="AB19" s="242">
        <v>0</v>
      </c>
      <c r="AC19" s="243">
        <f t="shared" si="25"/>
        <v>1943.6018043075194</v>
      </c>
      <c r="AD19" s="244">
        <f t="shared" si="13"/>
        <v>1943.6018043075194</v>
      </c>
      <c r="AE19" s="252">
        <f t="shared" si="14"/>
        <v>80682.870692750585</v>
      </c>
      <c r="AF19" s="252">
        <f t="shared" si="0"/>
        <v>24204.861207825175</v>
      </c>
      <c r="AG19" s="252">
        <f t="shared" si="15"/>
        <v>56478.009484925409</v>
      </c>
      <c r="AH19" s="252">
        <f t="shared" si="16"/>
        <v>1943.6018043075194</v>
      </c>
      <c r="AI19" s="255"/>
      <c r="AJ19" s="252">
        <f t="shared" si="2"/>
        <v>58421.611289232926</v>
      </c>
      <c r="AK19" s="252">
        <f t="shared" si="17"/>
        <v>709796.61437588208</v>
      </c>
      <c r="AO19" s="255">
        <v>15</v>
      </c>
      <c r="AP19" s="243">
        <f t="shared" si="3"/>
        <v>80682.870692750585</v>
      </c>
      <c r="AQ19" s="243">
        <f t="shared" si="18"/>
        <v>818973.89391428104</v>
      </c>
      <c r="AR19" s="266">
        <f t="shared" si="4"/>
        <v>1</v>
      </c>
      <c r="AS19" s="254">
        <f t="shared" si="1"/>
        <v>24204.861207825175</v>
      </c>
    </row>
    <row r="20" spans="1:50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568">
        <v>2033</v>
      </c>
      <c r="K20" s="575">
        <f t="shared" si="19"/>
        <v>0.83900710747386442</v>
      </c>
      <c r="L20" s="576">
        <f t="shared" si="5"/>
        <v>1202161.4000997741</v>
      </c>
      <c r="M20" s="571">
        <f t="shared" si="6"/>
        <v>1167287.0628690941</v>
      </c>
      <c r="N20" s="572">
        <f t="shared" si="20"/>
        <v>7310.8136364692664</v>
      </c>
      <c r="O20" s="573">
        <f t="shared" si="21"/>
        <v>189308414.1280767</v>
      </c>
      <c r="P20" s="573">
        <f t="shared" si="22"/>
        <v>12472382.315587578</v>
      </c>
      <c r="Q20" s="573">
        <f t="shared" si="7"/>
        <v>10523042.58456531</v>
      </c>
      <c r="R20" s="573">
        <f t="shared" si="8"/>
        <v>6503603.6578121269</v>
      </c>
      <c r="S20" s="573">
        <f t="shared" si="9"/>
        <v>102127677.70422874</v>
      </c>
      <c r="T20" s="574" t="s">
        <v>47</v>
      </c>
      <c r="U20" s="586">
        <f t="shared" si="23"/>
        <v>82626472.497058108</v>
      </c>
      <c r="V20" s="586">
        <f t="shared" si="24"/>
        <v>955488782.55016649</v>
      </c>
      <c r="X20" s="255">
        <v>16</v>
      </c>
      <c r="Y20" s="248">
        <f t="shared" si="10"/>
        <v>204192.08610956886</v>
      </c>
      <c r="Z20" s="169">
        <f t="shared" si="11"/>
        <v>120560.24050131009</v>
      </c>
      <c r="AA20" s="244">
        <f t="shared" si="12"/>
        <v>83631.845608258765</v>
      </c>
      <c r="AB20" s="242">
        <v>0</v>
      </c>
      <c r="AC20" s="243">
        <f t="shared" si="25"/>
        <v>1943.6018043075194</v>
      </c>
      <c r="AD20" s="244">
        <f t="shared" si="13"/>
        <v>1943.6018043075194</v>
      </c>
      <c r="AE20" s="252">
        <f t="shared" si="14"/>
        <v>81688.243803951249</v>
      </c>
      <c r="AF20" s="252">
        <f t="shared" si="0"/>
        <v>24506.473141185375</v>
      </c>
      <c r="AG20" s="252">
        <f t="shared" si="15"/>
        <v>57181.770662765877</v>
      </c>
      <c r="AH20" s="252">
        <f t="shared" si="16"/>
        <v>1943.6018043075194</v>
      </c>
      <c r="AI20" s="255"/>
      <c r="AJ20" s="252">
        <f t="shared" si="2"/>
        <v>59125.372467073394</v>
      </c>
      <c r="AK20" s="252">
        <f t="shared" si="17"/>
        <v>768921.98684295546</v>
      </c>
      <c r="AO20" s="255">
        <v>16</v>
      </c>
      <c r="AP20" s="243">
        <f t="shared" si="3"/>
        <v>81688.243803951249</v>
      </c>
      <c r="AQ20" s="243">
        <f t="shared" si="18"/>
        <v>900662.13771823235</v>
      </c>
      <c r="AR20" s="266">
        <f t="shared" si="4"/>
        <v>1</v>
      </c>
      <c r="AS20" s="254">
        <f t="shared" si="1"/>
        <v>24506.473141185375</v>
      </c>
    </row>
    <row r="21" spans="1:50" ht="15.75" thickBot="1" x14ac:dyDescent="0.3">
      <c r="A21" s="1"/>
      <c r="B21" s="100" t="s">
        <v>16</v>
      </c>
      <c r="C21" s="101"/>
      <c r="D21" s="1"/>
      <c r="E21" s="1"/>
      <c r="F21" s="1"/>
      <c r="G21" s="1"/>
      <c r="H21" s="1"/>
      <c r="I21" s="1"/>
      <c r="J21" s="568">
        <v>2034</v>
      </c>
      <c r="K21" s="575">
        <f t="shared" si="19"/>
        <v>0.83481207193649509</v>
      </c>
      <c r="L21" s="576">
        <f t="shared" si="5"/>
        <v>1196150.5930992754</v>
      </c>
      <c r="M21" s="571">
        <f t="shared" si="6"/>
        <v>1161450.6275547484</v>
      </c>
      <c r="N21" s="572">
        <f t="shared" si="20"/>
        <v>7321.7798569239703</v>
      </c>
      <c r="O21" s="573">
        <f t="shared" si="21"/>
        <v>191782065.70555922</v>
      </c>
      <c r="P21" s="573">
        <f t="shared" si="22"/>
        <v>12410020.40400964</v>
      </c>
      <c r="Q21" s="573">
        <f t="shared" si="7"/>
        <v>10493484.255260009</v>
      </c>
      <c r="R21" s="573">
        <f t="shared" si="8"/>
        <v>6471085.6395230666</v>
      </c>
      <c r="S21" s="573">
        <f t="shared" si="9"/>
        <v>103595670.60652702</v>
      </c>
      <c r="T21" s="574" t="s">
        <v>47</v>
      </c>
      <c r="U21" s="586">
        <f t="shared" si="23"/>
        <v>83631845.608258769</v>
      </c>
      <c r="V21" s="586">
        <f t="shared" si="24"/>
        <v>1039120628.1584252</v>
      </c>
      <c r="X21" s="258">
        <v>17</v>
      </c>
      <c r="Y21" s="249">
        <f t="shared" si="10"/>
        <v>205507.49037366104</v>
      </c>
      <c r="Z21" s="250">
        <f t="shared" si="11"/>
        <v>120796.85828997998</v>
      </c>
      <c r="AA21" s="251">
        <f t="shared" si="12"/>
        <v>84710.632083681063</v>
      </c>
      <c r="AB21" s="256">
        <v>0</v>
      </c>
      <c r="AC21" s="257">
        <f t="shared" si="25"/>
        <v>1943.6018043075194</v>
      </c>
      <c r="AD21" s="251">
        <f t="shared" si="13"/>
        <v>1943.6018043075194</v>
      </c>
      <c r="AE21" s="253">
        <f t="shared" si="14"/>
        <v>82767.030279373546</v>
      </c>
      <c r="AF21" s="253">
        <f t="shared" si="0"/>
        <v>24830.109083812062</v>
      </c>
      <c r="AG21" s="253">
        <f t="shared" si="15"/>
        <v>57936.921195561488</v>
      </c>
      <c r="AH21" s="253">
        <f t="shared" si="16"/>
        <v>1943.6018043075194</v>
      </c>
      <c r="AI21" s="258"/>
      <c r="AJ21" s="253">
        <f t="shared" si="2"/>
        <v>59880.522999869005</v>
      </c>
      <c r="AK21" s="253">
        <f t="shared" si="17"/>
        <v>828802.50984282442</v>
      </c>
      <c r="AO21" s="258">
        <v>17</v>
      </c>
      <c r="AP21" s="257">
        <f t="shared" si="3"/>
        <v>82767.030279373546</v>
      </c>
      <c r="AQ21" s="257">
        <f t="shared" si="18"/>
        <v>983429.16799760587</v>
      </c>
      <c r="AR21" s="267">
        <f t="shared" si="4"/>
        <v>1</v>
      </c>
      <c r="AS21" s="264">
        <f t="shared" si="1"/>
        <v>24830.109083812062</v>
      </c>
    </row>
    <row r="22" spans="1:50" ht="15.75" thickBot="1" x14ac:dyDescent="0.3">
      <c r="A22" s="1"/>
      <c r="B22" s="32" t="s">
        <v>15</v>
      </c>
      <c r="C22" s="33">
        <v>119.99</v>
      </c>
      <c r="D22" s="1"/>
      <c r="E22" s="1"/>
      <c r="F22" s="1"/>
      <c r="G22" s="1"/>
      <c r="H22" s="1"/>
      <c r="I22" s="1"/>
      <c r="J22" s="577">
        <v>2035</v>
      </c>
      <c r="K22" s="578">
        <f t="shared" si="19"/>
        <v>0.83063801157681261</v>
      </c>
      <c r="L22" s="579">
        <f t="shared" si="5"/>
        <v>1190169.840133779</v>
      </c>
      <c r="M22" s="580">
        <f t="shared" si="6"/>
        <v>1155643.3744169748</v>
      </c>
      <c r="N22" s="581">
        <f t="shared" si="20"/>
        <v>7332.7625267093563</v>
      </c>
      <c r="O22" s="582">
        <f t="shared" si="21"/>
        <v>193159520.07167146</v>
      </c>
      <c r="P22" s="582">
        <f t="shared" si="22"/>
        <v>12347970.301989593</v>
      </c>
      <c r="Q22" s="582">
        <f t="shared" si="7"/>
        <v>10464073.717601236</v>
      </c>
      <c r="R22" s="582">
        <f t="shared" si="8"/>
        <v>6438730.2113254517</v>
      </c>
      <c r="S22" s="582">
        <f t="shared" si="9"/>
        <v>103894054.36105329</v>
      </c>
      <c r="T22" s="583" t="s">
        <v>47</v>
      </c>
      <c r="U22" s="588">
        <f t="shared" si="23"/>
        <v>84710632.083681047</v>
      </c>
      <c r="V22" s="588">
        <f t="shared" si="24"/>
        <v>1123831260.2421062</v>
      </c>
      <c r="AE22">
        <v>1000</v>
      </c>
      <c r="AF22">
        <v>1000</v>
      </c>
      <c r="AI22" s="396"/>
      <c r="AJ22" s="397">
        <f>NPV(T26,AJ5:AJ21)</f>
        <v>425718.66145871498</v>
      </c>
      <c r="AM22" s="158"/>
      <c r="AN22" s="399"/>
      <c r="AO22" s="399"/>
      <c r="AP22" s="399"/>
    </row>
    <row r="23" spans="1:50" ht="15.75" thickBot="1" x14ac:dyDescent="0.3">
      <c r="A23" s="1"/>
      <c r="B23" s="34" t="s">
        <v>44</v>
      </c>
      <c r="C23" s="35">
        <f>M34*(1+K25)*(1+K26)</f>
        <v>28192.758418652804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Y23" s="394"/>
      <c r="Z23" s="395"/>
      <c r="AA23" s="395"/>
      <c r="AB23" s="399"/>
      <c r="AC23" s="400">
        <v>0.13</v>
      </c>
      <c r="AD23" s="400">
        <v>0.13</v>
      </c>
      <c r="AE23" s="398"/>
      <c r="AF23" s="398"/>
      <c r="AG23" s="398"/>
      <c r="AI23" s="315">
        <v>0.02</v>
      </c>
      <c r="AJ23" s="315">
        <v>0.05</v>
      </c>
      <c r="AP23" s="315">
        <v>0.3</v>
      </c>
      <c r="AQ23" s="315">
        <v>0</v>
      </c>
      <c r="AR23" s="315">
        <v>0</v>
      </c>
    </row>
    <row r="24" spans="1:50" ht="24.95" customHeight="1" thickBot="1" x14ac:dyDescent="0.3">
      <c r="A24" s="1"/>
      <c r="B24" s="34" t="s">
        <v>45</v>
      </c>
      <c r="C24" s="38">
        <f>O34*(1+K25)*(1+K26)</f>
        <v>4.9175309243578296</v>
      </c>
      <c r="D24" s="1"/>
      <c r="E24" s="763" t="s">
        <v>17</v>
      </c>
      <c r="F24" s="764"/>
      <c r="G24" s="765"/>
      <c r="H24" s="472"/>
      <c r="I24" s="1"/>
      <c r="J24" s="752" t="s">
        <v>40</v>
      </c>
      <c r="K24" s="753"/>
      <c r="L24" s="1"/>
      <c r="M24" s="1"/>
      <c r="N24" s="1"/>
      <c r="O24" s="1"/>
      <c r="P24" s="1"/>
      <c r="Q24" s="31"/>
      <c r="R24" s="31"/>
      <c r="S24" s="1"/>
      <c r="T24" s="1"/>
      <c r="U24" s="1"/>
      <c r="X24" s="841" t="s">
        <v>7</v>
      </c>
      <c r="Y24" s="839" t="s">
        <v>178</v>
      </c>
      <c r="Z24" s="837" t="s">
        <v>180</v>
      </c>
      <c r="AA24" s="372" t="s">
        <v>179</v>
      </c>
      <c r="AB24" s="843" t="s">
        <v>185</v>
      </c>
      <c r="AC24" s="833" t="s">
        <v>170</v>
      </c>
      <c r="AD24" s="833" t="s">
        <v>171</v>
      </c>
      <c r="AE24" s="325" t="s">
        <v>136</v>
      </c>
      <c r="AF24" s="326"/>
      <c r="AG24" s="362"/>
      <c r="AH24" s="363" t="s">
        <v>173</v>
      </c>
      <c r="AI24" s="385" t="s">
        <v>174</v>
      </c>
      <c r="AJ24" s="386" t="s">
        <v>175</v>
      </c>
      <c r="AK24" s="380" t="s">
        <v>181</v>
      </c>
      <c r="AN24" s="835" t="s">
        <v>186</v>
      </c>
      <c r="AO24" s="381" t="s">
        <v>176</v>
      </c>
      <c r="AP24" s="389" t="s">
        <v>187</v>
      </c>
      <c r="AQ24" s="363" t="s">
        <v>168</v>
      </c>
      <c r="AR24" s="323" t="s">
        <v>169</v>
      </c>
      <c r="AS24" s="323" t="s">
        <v>188</v>
      </c>
      <c r="AT24" s="391" t="s">
        <v>166</v>
      </c>
      <c r="AU24" s="311"/>
      <c r="AV24" s="311"/>
      <c r="AW24" s="311"/>
      <c r="AX24" s="312"/>
    </row>
    <row r="25" spans="1:50" ht="24.75" thickBot="1" x14ac:dyDescent="0.3">
      <c r="A25" s="1"/>
      <c r="B25" s="34" t="s">
        <v>50</v>
      </c>
      <c r="C25" s="38">
        <f>K34*(1+K25)*(1+K26)</f>
        <v>1131.6834412015535</v>
      </c>
      <c r="D25" s="1"/>
      <c r="E25" s="79" t="s">
        <v>7</v>
      </c>
      <c r="F25" s="80" t="s">
        <v>20</v>
      </c>
      <c r="G25" s="81" t="s">
        <v>18</v>
      </c>
      <c r="H25" s="48"/>
      <c r="I25" s="1"/>
      <c r="J25" s="56">
        <v>2016</v>
      </c>
      <c r="K25" s="58">
        <v>2.07E-2</v>
      </c>
      <c r="L25" s="1"/>
      <c r="M25" s="1"/>
      <c r="N25" s="1"/>
      <c r="O25" s="1"/>
      <c r="P25" s="1"/>
      <c r="Q25" s="1"/>
      <c r="R25" s="1"/>
      <c r="S25" s="757" t="s">
        <v>277</v>
      </c>
      <c r="T25" s="759"/>
      <c r="U25" s="1"/>
      <c r="X25" s="842"/>
      <c r="Y25" s="840"/>
      <c r="Z25" s="838"/>
      <c r="AA25" s="393">
        <v>0.13</v>
      </c>
      <c r="AB25" s="844"/>
      <c r="AC25" s="834"/>
      <c r="AD25" s="834"/>
      <c r="AE25" s="327" t="s">
        <v>184</v>
      </c>
      <c r="AF25" s="328" t="s">
        <v>183</v>
      </c>
      <c r="AG25" s="364"/>
      <c r="AH25" s="365" t="s">
        <v>172</v>
      </c>
      <c r="AI25" s="387"/>
      <c r="AJ25" s="388"/>
      <c r="AK25" s="401" t="s">
        <v>182</v>
      </c>
      <c r="AN25" s="836"/>
      <c r="AO25" s="365" t="s">
        <v>177</v>
      </c>
      <c r="AP25" s="390"/>
      <c r="AQ25" s="365"/>
      <c r="AR25" s="324"/>
      <c r="AS25" s="324"/>
      <c r="AT25" s="268" t="s">
        <v>22</v>
      </c>
      <c r="AU25" s="291" t="s">
        <v>148</v>
      </c>
      <c r="AV25" s="262" t="s">
        <v>149</v>
      </c>
      <c r="AW25" s="265"/>
      <c r="AX25" s="263" t="s">
        <v>152</v>
      </c>
    </row>
    <row r="26" spans="1:50" ht="15.75" thickBot="1" x14ac:dyDescent="0.3">
      <c r="A26" s="1"/>
      <c r="B26" s="39" t="s">
        <v>116</v>
      </c>
      <c r="C26" s="42">
        <v>7.8</v>
      </c>
      <c r="D26" s="1"/>
      <c r="E26" s="103">
        <v>2019</v>
      </c>
      <c r="F26" s="109">
        <v>8.66</v>
      </c>
      <c r="G26" s="475">
        <f t="shared" ref="G26:G42" si="26">F26*$E$14</f>
        <v>8.2080952199999994E-6</v>
      </c>
      <c r="H26" s="473"/>
      <c r="I26" s="1"/>
      <c r="J26" s="57">
        <v>2017</v>
      </c>
      <c r="K26" s="55">
        <v>2.1100000000000001E-2</v>
      </c>
      <c r="L26" s="1"/>
      <c r="M26" s="1"/>
      <c r="N26" s="1"/>
      <c r="O26" s="1"/>
      <c r="P26" s="1"/>
      <c r="Q26" s="1"/>
      <c r="R26" s="1"/>
      <c r="S26" s="32" t="s">
        <v>249</v>
      </c>
      <c r="T26" s="73">
        <v>0.12</v>
      </c>
      <c r="U26" s="1"/>
      <c r="X26" s="329">
        <v>0</v>
      </c>
      <c r="Y26" s="420"/>
      <c r="Z26" s="421"/>
      <c r="AA26" s="422"/>
      <c r="AB26" s="319"/>
      <c r="AC26" s="430">
        <f>-U5*AC23</f>
        <v>24063641.386664528</v>
      </c>
      <c r="AD26" s="351"/>
      <c r="AE26" s="352"/>
      <c r="AF26" s="353"/>
      <c r="AG26" s="353"/>
      <c r="AH26" s="316"/>
      <c r="AI26" s="382"/>
      <c r="AJ26" s="373"/>
      <c r="AK26" s="376"/>
      <c r="AM26" s="521">
        <f>AO26</f>
        <v>-185104933.74357328</v>
      </c>
      <c r="AN26" s="404"/>
      <c r="AO26" s="377">
        <f>U5</f>
        <v>-185104933.74357328</v>
      </c>
      <c r="AP26" s="404">
        <f>AX26</f>
        <v>0</v>
      </c>
      <c r="AQ26" s="316"/>
      <c r="AR26" s="19"/>
      <c r="AS26" s="19">
        <f t="shared" ref="AS26:AS42" si="27">AN26-AP26</f>
        <v>0</v>
      </c>
      <c r="AT26" s="255">
        <v>0</v>
      </c>
      <c r="AU26" s="292"/>
      <c r="AV26" s="161"/>
      <c r="AW26" s="266">
        <f>IF(AV26&gt;0,1,0)</f>
        <v>0</v>
      </c>
      <c r="AX26" s="370">
        <f t="shared" ref="AX26:AX43" si="28">MIN(AU26:AV26)*AW26*$S$60</f>
        <v>0</v>
      </c>
    </row>
    <row r="27" spans="1:50" x14ac:dyDescent="0.25">
      <c r="A27" s="1"/>
      <c r="D27" s="1"/>
      <c r="E27" s="43">
        <v>2020</v>
      </c>
      <c r="F27" s="36">
        <v>9.1999999999999993</v>
      </c>
      <c r="G27" s="476">
        <f t="shared" si="26"/>
        <v>8.7199163999999995E-6</v>
      </c>
      <c r="H27" s="474"/>
      <c r="I27" s="1"/>
      <c r="J27" s="59"/>
      <c r="K27" s="60"/>
      <c r="L27" s="1"/>
      <c r="M27" s="1"/>
      <c r="N27" s="1"/>
      <c r="O27" s="1"/>
      <c r="P27" s="1"/>
      <c r="Q27" s="1"/>
      <c r="R27" s="1"/>
      <c r="S27" s="34" t="s">
        <v>276</v>
      </c>
      <c r="T27" s="35">
        <v>17</v>
      </c>
      <c r="U27" s="1"/>
      <c r="X27" s="329">
        <v>1</v>
      </c>
      <c r="Y27" s="423">
        <f t="shared" ref="Y27:Y43" si="29">U6</f>
        <v>69915446.112585708</v>
      </c>
      <c r="Z27" s="424">
        <f>'Análisis Finan CCGT Nuevo'!I13</f>
        <v>19810043.960143797</v>
      </c>
      <c r="AA27" s="425">
        <f>'Análisis Finan CCGT Nuevo'!G13*$AA$25</f>
        <v>710358.69373433688</v>
      </c>
      <c r="AB27" s="317">
        <f>Y27-Z27-AA27</f>
        <v>49395043.458707571</v>
      </c>
      <c r="AC27" s="317">
        <f>(S6+R6+Q6)*AC23-(U5*AC23)+AA27</f>
        <v>36955736.892396845</v>
      </c>
      <c r="AD27" s="317">
        <f>(O6+P6)*$AD$23</f>
        <v>21270744.806634117</v>
      </c>
      <c r="AE27" s="354">
        <f>U57*AE22</f>
        <v>29246579.531484582</v>
      </c>
      <c r="AF27" s="355">
        <f>U58*AF22</f>
        <v>1943601.8043075195</v>
      </c>
      <c r="AG27" s="356"/>
      <c r="AH27" s="360">
        <f>AD27-AC27</f>
        <v>-15684992.085762728</v>
      </c>
      <c r="AI27" s="383">
        <f t="shared" ref="AI27:AI43" si="30">$AI$23*U6</f>
        <v>1398308.9222517142</v>
      </c>
      <c r="AJ27" s="374">
        <f t="shared" ref="AJ27:AJ43" si="31">$AJ$23*U6</f>
        <v>3495772.3056292855</v>
      </c>
      <c r="AK27" s="402">
        <f>AB27-AI27-AJ27</f>
        <v>44500962.230826572</v>
      </c>
      <c r="AL27" s="289"/>
      <c r="AM27" s="289">
        <f>AN27</f>
        <v>13310780.895034472</v>
      </c>
      <c r="AN27" s="319">
        <f>AB27-AE27-AF27-AI27-AJ27</f>
        <v>13310780.895034472</v>
      </c>
      <c r="AO27" s="378">
        <f>AO26+AN27</f>
        <v>-171794152.84853882</v>
      </c>
      <c r="AP27" s="317">
        <f t="shared" ref="AP27:AP43" si="32">IF(AO27&lt;0,0,AN27*$AP$23)</f>
        <v>0</v>
      </c>
      <c r="AQ27" s="321">
        <f t="shared" ref="AQ27:AQ43" si="33">AN27*$AQ$23</f>
        <v>0</v>
      </c>
      <c r="AR27" s="317">
        <f t="shared" ref="AR27:AR43" si="34">AI27*$AR$23</f>
        <v>0</v>
      </c>
      <c r="AS27" s="317">
        <f t="shared" si="27"/>
        <v>13310780.895034472</v>
      </c>
      <c r="AT27" s="255">
        <v>1</v>
      </c>
      <c r="AU27" s="366">
        <f t="shared" ref="AU27:AU43" si="35">AN27</f>
        <v>13310780.895034472</v>
      </c>
      <c r="AV27" s="368">
        <f t="shared" ref="AV27:AV43" si="36">AU27+AV26</f>
        <v>13310780.895034472</v>
      </c>
      <c r="AW27" s="266">
        <f t="shared" ref="AW27:AW43" si="37">IF(AV27&gt;0,1,0)</f>
        <v>1</v>
      </c>
      <c r="AX27" s="370">
        <f t="shared" si="28"/>
        <v>3993234.2685103412</v>
      </c>
    </row>
    <row r="28" spans="1:50" x14ac:dyDescent="0.25">
      <c r="A28" s="1"/>
      <c r="D28" s="1"/>
      <c r="E28" s="43">
        <v>2021</v>
      </c>
      <c r="F28" s="36">
        <v>9.61</v>
      </c>
      <c r="G28" s="476">
        <f t="shared" si="26"/>
        <v>9.1085213699999987E-6</v>
      </c>
      <c r="H28" s="474"/>
      <c r="I28" s="1"/>
      <c r="J28" s="1"/>
      <c r="K28" s="1"/>
      <c r="L28" s="1"/>
      <c r="M28" s="1"/>
      <c r="N28" s="1"/>
      <c r="O28" s="1"/>
      <c r="P28" s="1"/>
      <c r="Q28" s="1"/>
      <c r="R28" s="1"/>
      <c r="S28" s="34" t="s">
        <v>275</v>
      </c>
      <c r="T28" s="74">
        <f>NPV(T26,U6:U22)</f>
        <v>531417763.29455149</v>
      </c>
      <c r="U28" s="1"/>
      <c r="X28" s="329">
        <v>2</v>
      </c>
      <c r="Y28" s="423">
        <f t="shared" si="29"/>
        <v>70685571.384022668</v>
      </c>
      <c r="Z28" s="424">
        <f>'Análisis Finan CCGT Nuevo'!I14</f>
        <v>19810043.960143797</v>
      </c>
      <c r="AA28" s="425">
        <f>'Análisis Finan CCGT Nuevo'!G14*$AA$25</f>
        <v>649188.43144277006</v>
      </c>
      <c r="AB28" s="317">
        <f t="shared" ref="AB28:AB43" si="38">Y28-Z28-AA28</f>
        <v>50226338.992436104</v>
      </c>
      <c r="AC28" s="317">
        <f>(S7+R7+Q7)*$AC$23-AA28</f>
        <v>12101447.052487953</v>
      </c>
      <c r="AD28" s="317">
        <f t="shared" ref="AD28:AD43" si="39">(O7+P7)*$AD$23</f>
        <v>21939759.763853665</v>
      </c>
      <c r="AE28" s="354">
        <f t="shared" ref="AE28:AF43" si="40">AE27</f>
        <v>29246579.531484582</v>
      </c>
      <c r="AF28" s="355">
        <f t="shared" si="40"/>
        <v>1943601.8043075195</v>
      </c>
      <c r="AG28" s="356"/>
      <c r="AH28" s="360">
        <f t="shared" ref="AH28:AH43" si="41">AD28-AC28</f>
        <v>9838312.7113657128</v>
      </c>
      <c r="AI28" s="383">
        <f t="shared" si="30"/>
        <v>1413711.4276804533</v>
      </c>
      <c r="AJ28" s="374">
        <f t="shared" si="31"/>
        <v>3534278.5692011337</v>
      </c>
      <c r="AK28" s="402">
        <f t="shared" ref="AK28:AK43" si="42">AB28-AI28-AJ28</f>
        <v>45278348.995554514</v>
      </c>
      <c r="AL28" s="289"/>
      <c r="AM28" s="289">
        <f t="shared" ref="AM28:AM43" si="43">AN28</f>
        <v>14088167.659762412</v>
      </c>
      <c r="AN28" s="319">
        <f t="shared" ref="AN28:AN43" si="44">AB28-AE28-AF28-AI28-AJ28</f>
        <v>14088167.659762412</v>
      </c>
      <c r="AO28" s="378">
        <f t="shared" ref="AO28:AO43" si="45">AO27+AN28</f>
        <v>-157705985.1887764</v>
      </c>
      <c r="AP28" s="317">
        <f t="shared" si="32"/>
        <v>0</v>
      </c>
      <c r="AQ28" s="321">
        <f t="shared" si="33"/>
        <v>0</v>
      </c>
      <c r="AR28" s="317">
        <f t="shared" si="34"/>
        <v>0</v>
      </c>
      <c r="AS28" s="317">
        <f t="shared" si="27"/>
        <v>14088167.659762412</v>
      </c>
      <c r="AT28" s="255">
        <v>2</v>
      </c>
      <c r="AU28" s="366">
        <f t="shared" si="35"/>
        <v>14088167.659762412</v>
      </c>
      <c r="AV28" s="368">
        <f t="shared" si="36"/>
        <v>27398948.554796882</v>
      </c>
      <c r="AW28" s="266">
        <f t="shared" si="37"/>
        <v>1</v>
      </c>
      <c r="AX28" s="370">
        <f t="shared" si="28"/>
        <v>4226450.2979287235</v>
      </c>
    </row>
    <row r="29" spans="1:50" ht="15.75" thickBot="1" x14ac:dyDescent="0.3">
      <c r="A29" s="1"/>
      <c r="D29" s="1"/>
      <c r="E29" s="43">
        <v>2022</v>
      </c>
      <c r="F29" s="36">
        <v>9.93</v>
      </c>
      <c r="G29" s="476">
        <f t="shared" si="26"/>
        <v>9.4118228099999998E-6</v>
      </c>
      <c r="H29" s="474"/>
      <c r="I29" s="1"/>
      <c r="J29" s="1"/>
      <c r="K29" s="1"/>
      <c r="L29" s="1"/>
      <c r="M29" s="1"/>
      <c r="N29" s="1"/>
      <c r="O29" s="1"/>
      <c r="P29" s="1"/>
      <c r="Q29" s="1"/>
      <c r="R29" s="1"/>
      <c r="S29" s="34" t="s">
        <v>49</v>
      </c>
      <c r="T29" s="74">
        <f>NPV(T26,U6:U22)+U5</f>
        <v>346312829.55097818</v>
      </c>
      <c r="U29" s="1"/>
      <c r="X29" s="329">
        <v>3</v>
      </c>
      <c r="Y29" s="423">
        <f t="shared" si="29"/>
        <v>71493715.894996464</v>
      </c>
      <c r="Z29" s="424">
        <f>'Análisis Finan CCGT Nuevo'!I15</f>
        <v>19810043.960143797</v>
      </c>
      <c r="AA29" s="425">
        <f>'Análisis Finan CCGT Nuevo'!G15*$AA$25</f>
        <v>586011.78454803978</v>
      </c>
      <c r="AB29" s="317">
        <f t="shared" si="38"/>
        <v>51097660.15030463</v>
      </c>
      <c r="AC29" s="317">
        <f t="shared" ref="AC29:AC43" si="46">(S8+R8+Q8)*$AC$23-AA29</f>
        <v>12582550.578479018</v>
      </c>
      <c r="AD29" s="317">
        <f t="shared" si="39"/>
        <v>22462745.429376598</v>
      </c>
      <c r="AE29" s="354">
        <f t="shared" si="40"/>
        <v>29246579.531484582</v>
      </c>
      <c r="AF29" s="355">
        <f t="shared" si="40"/>
        <v>1943601.8043075195</v>
      </c>
      <c r="AG29" s="356"/>
      <c r="AH29" s="360">
        <f t="shared" si="41"/>
        <v>9880194.8508975804</v>
      </c>
      <c r="AI29" s="383">
        <f t="shared" si="30"/>
        <v>1429874.3178999294</v>
      </c>
      <c r="AJ29" s="374">
        <f t="shared" si="31"/>
        <v>3574685.7947498234</v>
      </c>
      <c r="AK29" s="402">
        <f t="shared" si="42"/>
        <v>46093100.037654877</v>
      </c>
      <c r="AL29" s="289"/>
      <c r="AM29" s="289">
        <f t="shared" si="43"/>
        <v>14902918.701862779</v>
      </c>
      <c r="AN29" s="319">
        <f t="shared" si="44"/>
        <v>14902918.701862779</v>
      </c>
      <c r="AO29" s="378">
        <f t="shared" si="45"/>
        <v>-142803066.48691362</v>
      </c>
      <c r="AP29" s="317">
        <f t="shared" si="32"/>
        <v>0</v>
      </c>
      <c r="AQ29" s="321">
        <f t="shared" si="33"/>
        <v>0</v>
      </c>
      <c r="AR29" s="317">
        <f t="shared" si="34"/>
        <v>0</v>
      </c>
      <c r="AS29" s="317">
        <f t="shared" si="27"/>
        <v>14902918.701862779</v>
      </c>
      <c r="AT29" s="255">
        <v>3</v>
      </c>
      <c r="AU29" s="366">
        <f t="shared" si="35"/>
        <v>14902918.701862779</v>
      </c>
      <c r="AV29" s="368">
        <f t="shared" si="36"/>
        <v>42301867.256659657</v>
      </c>
      <c r="AW29" s="266">
        <f t="shared" si="37"/>
        <v>1</v>
      </c>
      <c r="AX29" s="370">
        <f t="shared" si="28"/>
        <v>4470875.610558833</v>
      </c>
    </row>
    <row r="30" spans="1:50" ht="15.75" thickBot="1" x14ac:dyDescent="0.3">
      <c r="A30" s="77" t="s">
        <v>7</v>
      </c>
      <c r="B30" s="78" t="s">
        <v>39</v>
      </c>
      <c r="C30" s="1"/>
      <c r="D30" s="1"/>
      <c r="E30" s="43">
        <v>2023</v>
      </c>
      <c r="F30" s="36">
        <v>10.119999999999999</v>
      </c>
      <c r="G30" s="476">
        <f t="shared" si="26"/>
        <v>9.59190804E-6</v>
      </c>
      <c r="H30" s="474"/>
      <c r="I30" s="1"/>
      <c r="J30" s="752" t="s">
        <v>33</v>
      </c>
      <c r="K30" s="753"/>
      <c r="L30" s="752" t="s">
        <v>34</v>
      </c>
      <c r="M30" s="753"/>
      <c r="N30" s="752" t="s">
        <v>37</v>
      </c>
      <c r="O30" s="753"/>
      <c r="P30" s="163"/>
      <c r="Q30" s="1"/>
      <c r="R30" s="1"/>
      <c r="S30" s="34" t="s">
        <v>51</v>
      </c>
      <c r="T30" s="74">
        <f>-PMT(T26,T27,T29)</f>
        <v>48641966.732469179</v>
      </c>
      <c r="U30" s="1"/>
      <c r="X30" s="329">
        <v>4</v>
      </c>
      <c r="Y30" s="423">
        <f t="shared" si="29"/>
        <v>72333189.150570974</v>
      </c>
      <c r="Z30" s="424">
        <f>'Análisis Finan CCGT Nuevo'!I16</f>
        <v>19810043.960143797</v>
      </c>
      <c r="AA30" s="425">
        <f>'Análisis Finan CCGT Nuevo'!G16*$AA$25</f>
        <v>520762.9436351622</v>
      </c>
      <c r="AB30" s="317">
        <f t="shared" si="38"/>
        <v>52002382.246792011</v>
      </c>
      <c r="AC30" s="317">
        <f t="shared" si="46"/>
        <v>12961345.383886702</v>
      </c>
      <c r="AD30" s="317">
        <f t="shared" si="39"/>
        <v>22885422.917096093</v>
      </c>
      <c r="AE30" s="354">
        <f t="shared" si="40"/>
        <v>29246579.531484582</v>
      </c>
      <c r="AF30" s="355">
        <f t="shared" si="40"/>
        <v>1943601.8043075195</v>
      </c>
      <c r="AG30" s="356"/>
      <c r="AH30" s="360">
        <f t="shared" si="41"/>
        <v>9924077.5332093909</v>
      </c>
      <c r="AI30" s="383">
        <f t="shared" si="30"/>
        <v>1446663.7830114195</v>
      </c>
      <c r="AJ30" s="374">
        <f t="shared" si="31"/>
        <v>3616659.4575285488</v>
      </c>
      <c r="AK30" s="402">
        <f t="shared" si="42"/>
        <v>46939059.006252043</v>
      </c>
      <c r="AL30" s="289"/>
      <c r="AM30" s="289">
        <f t="shared" si="43"/>
        <v>15748877.670459943</v>
      </c>
      <c r="AN30" s="319">
        <f t="shared" si="44"/>
        <v>15748877.670459943</v>
      </c>
      <c r="AO30" s="378">
        <f t="shared" si="45"/>
        <v>-127054188.81645368</v>
      </c>
      <c r="AP30" s="317">
        <f t="shared" si="32"/>
        <v>0</v>
      </c>
      <c r="AQ30" s="321">
        <f t="shared" si="33"/>
        <v>0</v>
      </c>
      <c r="AR30" s="317">
        <f t="shared" si="34"/>
        <v>0</v>
      </c>
      <c r="AS30" s="317">
        <f t="shared" si="27"/>
        <v>15748877.670459943</v>
      </c>
      <c r="AT30" s="255">
        <v>4</v>
      </c>
      <c r="AU30" s="366">
        <f t="shared" si="35"/>
        <v>15748877.670459943</v>
      </c>
      <c r="AV30" s="368">
        <f t="shared" si="36"/>
        <v>58050744.927119598</v>
      </c>
      <c r="AW30" s="266">
        <f t="shared" si="37"/>
        <v>1</v>
      </c>
      <c r="AX30" s="370">
        <f t="shared" si="28"/>
        <v>4724663.3011379829</v>
      </c>
    </row>
    <row r="31" spans="1:50" x14ac:dyDescent="0.25">
      <c r="A31" s="103">
        <v>2019</v>
      </c>
      <c r="B31" s="104">
        <v>119.98774996050339</v>
      </c>
      <c r="C31" s="1"/>
      <c r="D31" s="1"/>
      <c r="E31" s="43">
        <v>2024</v>
      </c>
      <c r="F31" s="36">
        <v>10.3</v>
      </c>
      <c r="G31" s="476">
        <f t="shared" si="26"/>
        <v>9.7625151000000011E-6</v>
      </c>
      <c r="H31" s="474"/>
      <c r="I31" s="1"/>
      <c r="J31" s="32" t="s">
        <v>28</v>
      </c>
      <c r="K31" s="33">
        <v>285.7</v>
      </c>
      <c r="L31" s="32" t="s">
        <v>28</v>
      </c>
      <c r="M31" s="33">
        <v>285.7</v>
      </c>
      <c r="N31" s="32" t="s">
        <v>28</v>
      </c>
      <c r="O31" s="33">
        <v>285.7</v>
      </c>
      <c r="P31" s="161"/>
      <c r="Q31" s="1"/>
      <c r="R31" s="1"/>
      <c r="S31" s="34" t="s">
        <v>52</v>
      </c>
      <c r="T31" s="75">
        <f>NPV(T26,U6:U22)/-U5</f>
        <v>2.8709000486757796</v>
      </c>
      <c r="U31" s="1"/>
      <c r="X31" s="329">
        <v>5</v>
      </c>
      <c r="Y31" s="423">
        <f t="shared" si="29"/>
        <v>73219414.655781239</v>
      </c>
      <c r="Z31" s="424">
        <f>'Análisis Finan CCGT Nuevo'!I17</f>
        <v>19810043.960143797</v>
      </c>
      <c r="AA31" s="425">
        <f>'Análisis Finan CCGT Nuevo'!G17*$AA$25</f>
        <v>453373.94074034237</v>
      </c>
      <c r="AB31" s="317">
        <f t="shared" si="38"/>
        <v>52955996.754897103</v>
      </c>
      <c r="AC31" s="317">
        <f t="shared" si="46"/>
        <v>13194115.971172191</v>
      </c>
      <c r="AD31" s="317">
        <f t="shared" si="39"/>
        <v>23166013.817164097</v>
      </c>
      <c r="AE31" s="354">
        <f t="shared" si="40"/>
        <v>29246579.531484582</v>
      </c>
      <c r="AF31" s="355">
        <f t="shared" si="40"/>
        <v>1943601.8043075195</v>
      </c>
      <c r="AG31" s="356"/>
      <c r="AH31" s="360">
        <f t="shared" si="41"/>
        <v>9971897.8459919058</v>
      </c>
      <c r="AI31" s="383">
        <f t="shared" si="30"/>
        <v>1464388.2931156249</v>
      </c>
      <c r="AJ31" s="374">
        <f t="shared" si="31"/>
        <v>3660970.732789062</v>
      </c>
      <c r="AK31" s="402">
        <f t="shared" si="42"/>
        <v>47830637.728992417</v>
      </c>
      <c r="AL31" s="289"/>
      <c r="AM31" s="289">
        <f t="shared" si="43"/>
        <v>16640456.393200316</v>
      </c>
      <c r="AN31" s="319">
        <f t="shared" si="44"/>
        <v>16640456.393200316</v>
      </c>
      <c r="AO31" s="378">
        <f t="shared" si="45"/>
        <v>-110413732.42325336</v>
      </c>
      <c r="AP31" s="317">
        <f t="shared" si="32"/>
        <v>0</v>
      </c>
      <c r="AQ31" s="321">
        <f t="shared" si="33"/>
        <v>0</v>
      </c>
      <c r="AR31" s="317">
        <f t="shared" si="34"/>
        <v>0</v>
      </c>
      <c r="AS31" s="317">
        <f t="shared" si="27"/>
        <v>16640456.393200316</v>
      </c>
      <c r="AT31" s="255">
        <v>5</v>
      </c>
      <c r="AU31" s="366">
        <f t="shared" si="35"/>
        <v>16640456.393200316</v>
      </c>
      <c r="AV31" s="368">
        <f t="shared" si="36"/>
        <v>74691201.320319921</v>
      </c>
      <c r="AW31" s="266">
        <f t="shared" si="37"/>
        <v>1</v>
      </c>
      <c r="AX31" s="370">
        <f t="shared" si="28"/>
        <v>4992136.9179600943</v>
      </c>
    </row>
    <row r="32" spans="1:50" x14ac:dyDescent="0.25">
      <c r="A32" s="43">
        <v>2020</v>
      </c>
      <c r="B32" s="102">
        <v>124.77501288291234</v>
      </c>
      <c r="C32" s="1"/>
      <c r="D32" s="1"/>
      <c r="E32" s="43">
        <v>2025</v>
      </c>
      <c r="F32" s="36">
        <v>10.61</v>
      </c>
      <c r="G32" s="476">
        <f t="shared" si="26"/>
        <v>1.005633837E-5</v>
      </c>
      <c r="H32" s="474"/>
      <c r="I32" s="1"/>
      <c r="J32" s="34" t="s">
        <v>29</v>
      </c>
      <c r="K32" s="35">
        <f>E4</f>
        <v>163.566</v>
      </c>
      <c r="L32" s="34" t="s">
        <v>29</v>
      </c>
      <c r="M32" s="35">
        <f>E4</f>
        <v>163.566</v>
      </c>
      <c r="N32" s="34" t="s">
        <v>29</v>
      </c>
      <c r="O32" s="35">
        <f>E4</f>
        <v>163.566</v>
      </c>
      <c r="P32" s="161"/>
      <c r="Q32" s="1"/>
      <c r="R32" s="1"/>
      <c r="S32" s="34" t="s">
        <v>53</v>
      </c>
      <c r="T32" s="54">
        <f>IRR(U5:U22)</f>
        <v>0.38759609306158271</v>
      </c>
      <c r="U32" s="1"/>
      <c r="X32" s="329">
        <v>6</v>
      </c>
      <c r="Y32" s="423">
        <f t="shared" si="29"/>
        <v>74119701.840575278</v>
      </c>
      <c r="Z32" s="424">
        <f>'Análisis Finan CCGT Nuevo'!I18</f>
        <v>19810043.960143797</v>
      </c>
      <c r="AA32" s="425">
        <f>'Análisis Finan CCGT Nuevo'!G18*$AA$25</f>
        <v>383774.57855057239</v>
      </c>
      <c r="AB32" s="317">
        <f t="shared" si="38"/>
        <v>53925883.301880911</v>
      </c>
      <c r="AC32" s="317">
        <f t="shared" si="46"/>
        <v>13416604.952733332</v>
      </c>
      <c r="AD32" s="317">
        <f t="shared" si="39"/>
        <v>23435940.770558693</v>
      </c>
      <c r="AE32" s="354">
        <v>0</v>
      </c>
      <c r="AF32" s="355">
        <f t="shared" si="40"/>
        <v>1943601.8043075195</v>
      </c>
      <c r="AG32" s="356"/>
      <c r="AH32" s="360">
        <f t="shared" si="41"/>
        <v>10019335.81782536</v>
      </c>
      <c r="AI32" s="383">
        <f t="shared" si="30"/>
        <v>1482394.0368115057</v>
      </c>
      <c r="AJ32" s="374">
        <f t="shared" si="31"/>
        <v>3705985.0920287641</v>
      </c>
      <c r="AK32" s="402">
        <f t="shared" si="42"/>
        <v>48737504.173040636</v>
      </c>
      <c r="AL32" s="289"/>
      <c r="AM32" s="289">
        <f t="shared" si="43"/>
        <v>46793902.368733115</v>
      </c>
      <c r="AN32" s="319">
        <f t="shared" si="44"/>
        <v>46793902.368733115</v>
      </c>
      <c r="AO32" s="378">
        <f t="shared" si="45"/>
        <v>-63619830.054520242</v>
      </c>
      <c r="AP32" s="317">
        <f t="shared" si="32"/>
        <v>0</v>
      </c>
      <c r="AQ32" s="321">
        <f t="shared" si="33"/>
        <v>0</v>
      </c>
      <c r="AR32" s="317">
        <f t="shared" si="34"/>
        <v>0</v>
      </c>
      <c r="AS32" s="317">
        <f t="shared" si="27"/>
        <v>46793902.368733115</v>
      </c>
      <c r="AT32" s="255">
        <v>6</v>
      </c>
      <c r="AU32" s="366">
        <f t="shared" si="35"/>
        <v>46793902.368733115</v>
      </c>
      <c r="AV32" s="368">
        <f t="shared" si="36"/>
        <v>121485103.68905303</v>
      </c>
      <c r="AW32" s="266">
        <f t="shared" si="37"/>
        <v>1</v>
      </c>
      <c r="AX32" s="370">
        <f t="shared" si="28"/>
        <v>14038170.710619934</v>
      </c>
    </row>
    <row r="33" spans="1:50" x14ac:dyDescent="0.25">
      <c r="A33" s="43">
        <v>2021</v>
      </c>
      <c r="B33" s="102">
        <v>128.70094797275627</v>
      </c>
      <c r="C33" s="1"/>
      <c r="D33" s="1"/>
      <c r="E33" s="43">
        <v>2026</v>
      </c>
      <c r="F33" s="36">
        <v>10.89</v>
      </c>
      <c r="G33" s="476">
        <f t="shared" si="26"/>
        <v>1.032172713E-5</v>
      </c>
      <c r="H33" s="474"/>
      <c r="I33" s="1"/>
      <c r="J33" s="34" t="s">
        <v>30</v>
      </c>
      <c r="K33" s="35">
        <v>695</v>
      </c>
      <c r="L33" s="34" t="s">
        <v>35</v>
      </c>
      <c r="M33" s="35">
        <v>17314</v>
      </c>
      <c r="N33" s="34" t="s">
        <v>38</v>
      </c>
      <c r="O33" s="35">
        <v>3.02</v>
      </c>
      <c r="P33" s="161"/>
      <c r="Q33" s="1"/>
      <c r="R33" s="1"/>
      <c r="S33" s="34" t="s">
        <v>54</v>
      </c>
      <c r="T33" s="76">
        <f>MIRR(U5:U22,T32,T26)</f>
        <v>0.19168167822219795</v>
      </c>
      <c r="U33" s="1"/>
      <c r="X33" s="329">
        <v>7</v>
      </c>
      <c r="Y33" s="423">
        <f t="shared" si="29"/>
        <v>74989410.583253875</v>
      </c>
      <c r="Z33" s="424">
        <f>'Análisis Finan CCGT Nuevo'!I19</f>
        <v>19810043.960143797</v>
      </c>
      <c r="AA33" s="425">
        <f>'Análisis Finan CCGT Nuevo'!G19*$AA$25</f>
        <v>311892.35728097806</v>
      </c>
      <c r="AB33" s="317">
        <f t="shared" si="38"/>
        <v>54867474.265829101</v>
      </c>
      <c r="AC33" s="317">
        <f t="shared" si="46"/>
        <v>13784940.478681371</v>
      </c>
      <c r="AD33" s="317">
        <f t="shared" si="39"/>
        <v>23845456.211785354</v>
      </c>
      <c r="AE33" s="354">
        <v>0</v>
      </c>
      <c r="AF33" s="355">
        <f t="shared" si="40"/>
        <v>1943601.8043075195</v>
      </c>
      <c r="AG33" s="356"/>
      <c r="AH33" s="360">
        <f t="shared" si="41"/>
        <v>10060515.733103983</v>
      </c>
      <c r="AI33" s="383">
        <f t="shared" si="30"/>
        <v>1499788.2116650776</v>
      </c>
      <c r="AJ33" s="374">
        <f t="shared" si="31"/>
        <v>3749470.5291626938</v>
      </c>
      <c r="AK33" s="402">
        <f t="shared" si="42"/>
        <v>49618215.525001332</v>
      </c>
      <c r="AL33" s="289"/>
      <c r="AM33" s="289">
        <f t="shared" si="43"/>
        <v>47674613.720693812</v>
      </c>
      <c r="AN33" s="319">
        <f t="shared" si="44"/>
        <v>47674613.720693812</v>
      </c>
      <c r="AO33" s="378">
        <f t="shared" si="45"/>
        <v>-15945216.33382643</v>
      </c>
      <c r="AP33" s="317">
        <f t="shared" si="32"/>
        <v>0</v>
      </c>
      <c r="AQ33" s="321">
        <f t="shared" si="33"/>
        <v>0</v>
      </c>
      <c r="AR33" s="317">
        <f t="shared" si="34"/>
        <v>0</v>
      </c>
      <c r="AS33" s="317">
        <f t="shared" si="27"/>
        <v>47674613.720693812</v>
      </c>
      <c r="AT33" s="255">
        <v>7</v>
      </c>
      <c r="AU33" s="366">
        <f t="shared" si="35"/>
        <v>47674613.720693812</v>
      </c>
      <c r="AV33" s="368">
        <f t="shared" si="36"/>
        <v>169159717.40974683</v>
      </c>
      <c r="AW33" s="266">
        <f t="shared" si="37"/>
        <v>1</v>
      </c>
      <c r="AX33" s="370">
        <f t="shared" si="28"/>
        <v>14302384.116208144</v>
      </c>
    </row>
    <row r="34" spans="1:50" ht="15.75" thickBot="1" x14ac:dyDescent="0.3">
      <c r="A34" s="43">
        <v>2022</v>
      </c>
      <c r="B34" s="102">
        <v>132.03735874063298</v>
      </c>
      <c r="C34" s="1"/>
      <c r="D34" s="1"/>
      <c r="E34" s="43">
        <v>2027</v>
      </c>
      <c r="F34" s="36">
        <v>11.07</v>
      </c>
      <c r="G34" s="476">
        <f t="shared" si="26"/>
        <v>1.0492334190000001E-5</v>
      </c>
      <c r="H34" s="474"/>
      <c r="I34" s="1"/>
      <c r="J34" s="34" t="s">
        <v>41</v>
      </c>
      <c r="K34" s="41">
        <f>K33/(K36^K35)</f>
        <v>1085.8218341323284</v>
      </c>
      <c r="L34" s="34" t="s">
        <v>42</v>
      </c>
      <c r="M34" s="41">
        <f>M33/(M36^M35)</f>
        <v>27050.243505276452</v>
      </c>
      <c r="N34" s="34" t="s">
        <v>43</v>
      </c>
      <c r="O34" s="41">
        <f>O33/(O36^O35)</f>
        <v>4.7182473943591825</v>
      </c>
      <c r="P34" s="162"/>
      <c r="Q34" s="1"/>
      <c r="R34" s="1"/>
      <c r="S34" s="39" t="s">
        <v>56</v>
      </c>
      <c r="T34" s="40">
        <f>2-V7/(-V7+V8)</f>
        <v>2.622487105192969</v>
      </c>
      <c r="U34" s="1"/>
      <c r="X34" s="329">
        <v>8</v>
      </c>
      <c r="Y34" s="423">
        <f t="shared" si="29"/>
        <v>75877899.503209934</v>
      </c>
      <c r="Z34" s="424">
        <f>'Análisis Finan CCGT Nuevo'!I20</f>
        <v>19810043.960143797</v>
      </c>
      <c r="AA34" s="425">
        <f>'Análisis Finan CCGT Nuevo'!G20*$AA$25</f>
        <v>237652.39915374099</v>
      </c>
      <c r="AB34" s="317">
        <f t="shared" si="38"/>
        <v>55830203.143912397</v>
      </c>
      <c r="AC34" s="317">
        <f t="shared" si="46"/>
        <v>14120098.918983972</v>
      </c>
      <c r="AD34" s="317">
        <f t="shared" si="39"/>
        <v>24221878.253555004</v>
      </c>
      <c r="AE34" s="354">
        <v>0</v>
      </c>
      <c r="AF34" s="355">
        <f t="shared" si="40"/>
        <v>1943601.8043075195</v>
      </c>
      <c r="AG34" s="356"/>
      <c r="AH34" s="360">
        <f t="shared" si="41"/>
        <v>10101779.334571032</v>
      </c>
      <c r="AI34" s="383">
        <f t="shared" si="30"/>
        <v>1517557.9900641986</v>
      </c>
      <c r="AJ34" s="374">
        <f t="shared" si="31"/>
        <v>3793894.9751604968</v>
      </c>
      <c r="AK34" s="402">
        <f t="shared" si="42"/>
        <v>50518750.178687707</v>
      </c>
      <c r="AL34" s="289"/>
      <c r="AM34" s="289">
        <f t="shared" si="43"/>
        <v>48575148.374380186</v>
      </c>
      <c r="AN34" s="319">
        <f t="shared" si="44"/>
        <v>48575148.374380186</v>
      </c>
      <c r="AO34" s="378">
        <f t="shared" si="45"/>
        <v>32629932.040553756</v>
      </c>
      <c r="AP34" s="317">
        <f t="shared" si="32"/>
        <v>14572544.512314055</v>
      </c>
      <c r="AQ34" s="321">
        <f t="shared" si="33"/>
        <v>0</v>
      </c>
      <c r="AR34" s="317">
        <f t="shared" si="34"/>
        <v>0</v>
      </c>
      <c r="AS34" s="317">
        <f t="shared" si="27"/>
        <v>34002603.862066135</v>
      </c>
      <c r="AT34" s="255">
        <v>8</v>
      </c>
      <c r="AU34" s="366">
        <f t="shared" si="35"/>
        <v>48575148.374380186</v>
      </c>
      <c r="AV34" s="368">
        <f t="shared" si="36"/>
        <v>217734865.784127</v>
      </c>
      <c r="AW34" s="266">
        <f t="shared" si="37"/>
        <v>1</v>
      </c>
      <c r="AX34" s="370">
        <f t="shared" si="28"/>
        <v>14572544.512314055</v>
      </c>
    </row>
    <row r="35" spans="1:50" x14ac:dyDescent="0.25">
      <c r="A35" s="43">
        <v>2023</v>
      </c>
      <c r="B35" s="102">
        <v>134.51322216923819</v>
      </c>
      <c r="C35" s="1"/>
      <c r="D35" s="1"/>
      <c r="E35" s="43">
        <v>2028</v>
      </c>
      <c r="F35" s="36">
        <v>11.15</v>
      </c>
      <c r="G35" s="476">
        <f t="shared" si="26"/>
        <v>1.056815955E-5</v>
      </c>
      <c r="H35" s="474"/>
      <c r="I35" s="1"/>
      <c r="J35" s="34" t="s">
        <v>31</v>
      </c>
      <c r="K35" s="35">
        <v>0.8</v>
      </c>
      <c r="L35" s="34" t="s">
        <v>31</v>
      </c>
      <c r="M35" s="35">
        <v>0.8</v>
      </c>
      <c r="N35" s="34" t="s">
        <v>31</v>
      </c>
      <c r="O35" s="35">
        <v>0.8</v>
      </c>
      <c r="P35" s="161"/>
      <c r="Q35" s="1"/>
      <c r="R35" s="1"/>
      <c r="S35" s="1"/>
      <c r="T35" s="1"/>
      <c r="U35" s="1"/>
      <c r="X35" s="329">
        <v>9</v>
      </c>
      <c r="Y35" s="423">
        <f t="shared" si="29"/>
        <v>76939902.507622674</v>
      </c>
      <c r="Z35" s="424">
        <f>'Análisis Finan CCGT Nuevo'!I21</f>
        <v>19810043.960143797</v>
      </c>
      <c r="AA35" s="425">
        <f>'Análisis Finan CCGT Nuevo'!G21*$AA$25</f>
        <v>160977.37039993054</v>
      </c>
      <c r="AB35" s="317">
        <f t="shared" si="38"/>
        <v>56968881.177078947</v>
      </c>
      <c r="AC35" s="317">
        <f t="shared" si="46"/>
        <v>14345100.539757876</v>
      </c>
      <c r="AD35" s="317">
        <f t="shared" si="39"/>
        <v>24508265.236148752</v>
      </c>
      <c r="AE35" s="354">
        <v>0</v>
      </c>
      <c r="AF35" s="355">
        <f t="shared" si="40"/>
        <v>1943601.8043075195</v>
      </c>
      <c r="AG35" s="356"/>
      <c r="AH35" s="360">
        <f t="shared" si="41"/>
        <v>10163164.696390877</v>
      </c>
      <c r="AI35" s="383">
        <f t="shared" si="30"/>
        <v>1538798.0501524536</v>
      </c>
      <c r="AJ35" s="374">
        <f t="shared" si="31"/>
        <v>3846995.125381134</v>
      </c>
      <c r="AK35" s="402">
        <f t="shared" si="42"/>
        <v>51583088.001545362</v>
      </c>
      <c r="AL35" s="289"/>
      <c r="AM35" s="289">
        <f t="shared" si="43"/>
        <v>49639486.197237842</v>
      </c>
      <c r="AN35" s="319">
        <f t="shared" si="44"/>
        <v>49639486.197237842</v>
      </c>
      <c r="AO35" s="378">
        <f t="shared" si="45"/>
        <v>82269418.237791598</v>
      </c>
      <c r="AP35" s="317">
        <f t="shared" si="32"/>
        <v>14891845.859171351</v>
      </c>
      <c r="AQ35" s="321">
        <f t="shared" si="33"/>
        <v>0</v>
      </c>
      <c r="AR35" s="317">
        <f t="shared" si="34"/>
        <v>0</v>
      </c>
      <c r="AS35" s="317">
        <f t="shared" si="27"/>
        <v>34747640.338066489</v>
      </c>
      <c r="AT35" s="255">
        <v>9</v>
      </c>
      <c r="AU35" s="366">
        <f t="shared" si="35"/>
        <v>49639486.197237842</v>
      </c>
      <c r="AV35" s="368">
        <f t="shared" si="36"/>
        <v>267374351.98136485</v>
      </c>
      <c r="AW35" s="266">
        <f t="shared" si="37"/>
        <v>1</v>
      </c>
      <c r="AX35" s="370">
        <f t="shared" si="28"/>
        <v>14891845.859171351</v>
      </c>
    </row>
    <row r="36" spans="1:50" ht="15.75" thickBot="1" x14ac:dyDescent="0.3">
      <c r="A36" s="43">
        <v>2024</v>
      </c>
      <c r="B36" s="102">
        <v>136.94319010545522</v>
      </c>
      <c r="C36" s="1"/>
      <c r="D36" s="1"/>
      <c r="E36" s="43">
        <v>2029</v>
      </c>
      <c r="F36" s="36">
        <v>11.32</v>
      </c>
      <c r="G36" s="476">
        <f t="shared" si="26"/>
        <v>1.072928844E-5</v>
      </c>
      <c r="H36" s="474"/>
      <c r="I36" s="1"/>
      <c r="J36" s="39" t="s">
        <v>32</v>
      </c>
      <c r="K36" s="42">
        <f>K32/K31</f>
        <v>0.57250962548127404</v>
      </c>
      <c r="L36" s="39" t="s">
        <v>36</v>
      </c>
      <c r="M36" s="42">
        <f>M32/M31</f>
        <v>0.57250962548127404</v>
      </c>
      <c r="N36" s="39" t="s">
        <v>36</v>
      </c>
      <c r="O36" s="42">
        <f>O32/O31</f>
        <v>0.57250962548127404</v>
      </c>
      <c r="P36" s="161"/>
      <c r="Q36" s="1"/>
      <c r="R36" s="1"/>
      <c r="S36" s="1"/>
      <c r="T36" s="1"/>
      <c r="U36" s="1"/>
      <c r="X36" s="329">
        <v>10</v>
      </c>
      <c r="Y36" s="423">
        <f t="shared" si="29"/>
        <v>77791140.860475108</v>
      </c>
      <c r="Z36" s="424">
        <f>'Análisis Finan CCGT Nuevo'!I22</f>
        <v>19810043.960143797</v>
      </c>
      <c r="AA36" s="425">
        <f>'Análisis Finan CCGT Nuevo'!G22*$AA$25</f>
        <v>81787.400702995088</v>
      </c>
      <c r="AB36" s="317">
        <f t="shared" si="38"/>
        <v>57899309.499628313</v>
      </c>
      <c r="AC36" s="317">
        <f t="shared" si="46"/>
        <v>14461199.741578193</v>
      </c>
      <c r="AD36" s="317">
        <f t="shared" si="39"/>
        <v>24655835.45414295</v>
      </c>
      <c r="AE36" s="354">
        <v>0</v>
      </c>
      <c r="AF36" s="355">
        <f t="shared" si="40"/>
        <v>1943601.8043075195</v>
      </c>
      <c r="AG36" s="356"/>
      <c r="AH36" s="360">
        <f t="shared" si="41"/>
        <v>10194635.712564757</v>
      </c>
      <c r="AI36" s="383">
        <f t="shared" si="30"/>
        <v>1555822.8172095022</v>
      </c>
      <c r="AJ36" s="374">
        <f t="shared" si="31"/>
        <v>3889557.0430237558</v>
      </c>
      <c r="AK36" s="402">
        <f t="shared" si="42"/>
        <v>52453929.639395051</v>
      </c>
      <c r="AL36" s="289"/>
      <c r="AM36" s="289">
        <f t="shared" si="43"/>
        <v>50510327.83508753</v>
      </c>
      <c r="AN36" s="319">
        <f t="shared" si="44"/>
        <v>50510327.83508753</v>
      </c>
      <c r="AO36" s="378">
        <f t="shared" si="45"/>
        <v>132779746.07287914</v>
      </c>
      <c r="AP36" s="317">
        <f t="shared" si="32"/>
        <v>15153098.350526258</v>
      </c>
      <c r="AQ36" s="321">
        <f t="shared" si="33"/>
        <v>0</v>
      </c>
      <c r="AR36" s="317">
        <f t="shared" si="34"/>
        <v>0</v>
      </c>
      <c r="AS36" s="317">
        <f t="shared" si="27"/>
        <v>35357229.484561272</v>
      </c>
      <c r="AT36" s="255">
        <v>10</v>
      </c>
      <c r="AU36" s="366">
        <f t="shared" si="35"/>
        <v>50510327.83508753</v>
      </c>
      <c r="AV36" s="368">
        <f t="shared" si="36"/>
        <v>317884679.81645238</v>
      </c>
      <c r="AW36" s="266">
        <f t="shared" si="37"/>
        <v>1</v>
      </c>
      <c r="AX36" s="370">
        <f t="shared" si="28"/>
        <v>15153098.350526258</v>
      </c>
    </row>
    <row r="37" spans="1:50" x14ac:dyDescent="0.25">
      <c r="A37" s="43">
        <v>2025</v>
      </c>
      <c r="B37" s="102">
        <v>140.27763033184516</v>
      </c>
      <c r="C37" s="1"/>
      <c r="D37" s="1"/>
      <c r="E37" s="43">
        <v>2030</v>
      </c>
      <c r="F37" s="36">
        <v>11.63</v>
      </c>
      <c r="G37" s="476">
        <f t="shared" si="26"/>
        <v>1.1023111710000001E-5</v>
      </c>
      <c r="H37" s="47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X37" s="329">
        <v>11</v>
      </c>
      <c r="Y37" s="423">
        <f t="shared" si="29"/>
        <v>78753224.792371258</v>
      </c>
      <c r="Z37" s="424"/>
      <c r="AA37" s="373"/>
      <c r="AB37" s="317">
        <f t="shared" si="38"/>
        <v>78753224.792371258</v>
      </c>
      <c r="AC37" s="317">
        <f t="shared" si="46"/>
        <v>14678312.344392227</v>
      </c>
      <c r="AD37" s="317">
        <f t="shared" si="39"/>
        <v>24916231.567400493</v>
      </c>
      <c r="AE37" s="354">
        <v>0</v>
      </c>
      <c r="AF37" s="355">
        <f t="shared" si="40"/>
        <v>1943601.8043075195</v>
      </c>
      <c r="AG37" s="356"/>
      <c r="AH37" s="360">
        <f t="shared" si="41"/>
        <v>10237919.223008266</v>
      </c>
      <c r="AI37" s="383">
        <f t="shared" si="30"/>
        <v>1575064.4958474252</v>
      </c>
      <c r="AJ37" s="374">
        <f t="shared" si="31"/>
        <v>3937661.2396185631</v>
      </c>
      <c r="AK37" s="402">
        <f t="shared" si="42"/>
        <v>73240499.05690527</v>
      </c>
      <c r="AL37" s="289"/>
      <c r="AM37" s="289">
        <f t="shared" si="43"/>
        <v>71296897.252597749</v>
      </c>
      <c r="AN37" s="319">
        <f t="shared" si="44"/>
        <v>71296897.252597749</v>
      </c>
      <c r="AO37" s="378">
        <f t="shared" si="45"/>
        <v>204076643.32547688</v>
      </c>
      <c r="AP37" s="317">
        <f t="shared" si="32"/>
        <v>21389069.175779324</v>
      </c>
      <c r="AQ37" s="321">
        <f t="shared" si="33"/>
        <v>0</v>
      </c>
      <c r="AR37" s="317">
        <f t="shared" si="34"/>
        <v>0</v>
      </c>
      <c r="AS37" s="317">
        <f t="shared" si="27"/>
        <v>49907828.076818421</v>
      </c>
      <c r="AT37" s="255">
        <v>11</v>
      </c>
      <c r="AU37" s="366">
        <f t="shared" si="35"/>
        <v>71296897.252597749</v>
      </c>
      <c r="AV37" s="368">
        <f t="shared" si="36"/>
        <v>389181577.06905013</v>
      </c>
      <c r="AW37" s="266">
        <f t="shared" si="37"/>
        <v>1</v>
      </c>
      <c r="AX37" s="370">
        <f t="shared" si="28"/>
        <v>21389069.175779324</v>
      </c>
    </row>
    <row r="38" spans="1:50" x14ac:dyDescent="0.25">
      <c r="A38" s="43">
        <v>2026</v>
      </c>
      <c r="B38" s="102">
        <v>143.4312916981871</v>
      </c>
      <c r="C38" s="1"/>
      <c r="D38" s="1"/>
      <c r="E38" s="43">
        <v>2031</v>
      </c>
      <c r="F38" s="36">
        <v>11.91</v>
      </c>
      <c r="G38" s="476">
        <f t="shared" si="26"/>
        <v>1.1288500470000001E-5</v>
      </c>
      <c r="H38" s="47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X38" s="329">
        <v>12</v>
      </c>
      <c r="Y38" s="423">
        <f t="shared" si="29"/>
        <v>79675292.07939294</v>
      </c>
      <c r="Z38" s="426"/>
      <c r="AA38" s="373"/>
      <c r="AB38" s="317">
        <f t="shared" si="38"/>
        <v>79675292.07939294</v>
      </c>
      <c r="AC38" s="317">
        <f t="shared" si="46"/>
        <v>14965735.733647797</v>
      </c>
      <c r="AD38" s="317">
        <f t="shared" si="39"/>
        <v>25323523.703968879</v>
      </c>
      <c r="AE38" s="354">
        <v>0</v>
      </c>
      <c r="AF38" s="355">
        <f t="shared" si="40"/>
        <v>1943601.8043075195</v>
      </c>
      <c r="AG38" s="356"/>
      <c r="AH38" s="360">
        <f t="shared" si="41"/>
        <v>10357787.970321082</v>
      </c>
      <c r="AI38" s="383">
        <f t="shared" si="30"/>
        <v>1593505.8415878587</v>
      </c>
      <c r="AJ38" s="374">
        <f t="shared" si="31"/>
        <v>3983764.6039696471</v>
      </c>
      <c r="AK38" s="402">
        <f t="shared" si="42"/>
        <v>74098021.633835435</v>
      </c>
      <c r="AL38" s="289"/>
      <c r="AM38" s="289">
        <f t="shared" si="43"/>
        <v>72154419.829527915</v>
      </c>
      <c r="AN38" s="319">
        <f t="shared" si="44"/>
        <v>72154419.829527915</v>
      </c>
      <c r="AO38" s="378">
        <f t="shared" si="45"/>
        <v>276231063.1550048</v>
      </c>
      <c r="AP38" s="317">
        <f t="shared" si="32"/>
        <v>21646325.948858373</v>
      </c>
      <c r="AQ38" s="321">
        <f t="shared" si="33"/>
        <v>0</v>
      </c>
      <c r="AR38" s="317">
        <f t="shared" si="34"/>
        <v>0</v>
      </c>
      <c r="AS38" s="317">
        <f t="shared" si="27"/>
        <v>50508093.880669542</v>
      </c>
      <c r="AT38" s="255">
        <v>12</v>
      </c>
      <c r="AU38" s="366">
        <f t="shared" si="35"/>
        <v>72154419.829527915</v>
      </c>
      <c r="AV38" s="368">
        <f t="shared" si="36"/>
        <v>461335996.89857805</v>
      </c>
      <c r="AW38" s="266">
        <f t="shared" si="37"/>
        <v>1</v>
      </c>
      <c r="AX38" s="370">
        <f t="shared" si="28"/>
        <v>21646325.948858373</v>
      </c>
    </row>
    <row r="39" spans="1:50" x14ac:dyDescent="0.25">
      <c r="A39" s="43">
        <v>2027</v>
      </c>
      <c r="B39" s="102">
        <v>146.03709247027606</v>
      </c>
      <c r="C39" s="1"/>
      <c r="D39" s="1"/>
      <c r="E39" s="43">
        <v>2032</v>
      </c>
      <c r="F39" s="36">
        <v>12.24</v>
      </c>
      <c r="G39" s="476">
        <f t="shared" si="26"/>
        <v>1.1601280080000001E-5</v>
      </c>
      <c r="H39" s="47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X39" s="329">
        <v>13</v>
      </c>
      <c r="Y39" s="423">
        <f t="shared" si="29"/>
        <v>80619167.152236879</v>
      </c>
      <c r="Z39" s="426"/>
      <c r="AA39" s="373"/>
      <c r="AB39" s="317">
        <f t="shared" si="38"/>
        <v>80619167.152236879</v>
      </c>
      <c r="AC39" s="317">
        <f t="shared" si="46"/>
        <v>15218256.607762503</v>
      </c>
      <c r="AD39" s="317">
        <f t="shared" si="39"/>
        <v>25698748.337553296</v>
      </c>
      <c r="AE39" s="354">
        <v>0</v>
      </c>
      <c r="AF39" s="355">
        <f t="shared" si="40"/>
        <v>1943601.8043075195</v>
      </c>
      <c r="AG39" s="356"/>
      <c r="AH39" s="360">
        <f t="shared" si="41"/>
        <v>10480491.729790794</v>
      </c>
      <c r="AI39" s="383">
        <f t="shared" si="30"/>
        <v>1612383.3430447376</v>
      </c>
      <c r="AJ39" s="374">
        <f t="shared" si="31"/>
        <v>4030958.3576118443</v>
      </c>
      <c r="AK39" s="402">
        <f t="shared" si="42"/>
        <v>74975825.451580286</v>
      </c>
      <c r="AL39" s="289"/>
      <c r="AM39" s="289">
        <f t="shared" si="43"/>
        <v>73032223.647272766</v>
      </c>
      <c r="AN39" s="319">
        <f t="shared" si="44"/>
        <v>73032223.647272766</v>
      </c>
      <c r="AO39" s="378">
        <f t="shared" si="45"/>
        <v>349263286.80227757</v>
      </c>
      <c r="AP39" s="317">
        <f t="shared" si="32"/>
        <v>21909667.094181828</v>
      </c>
      <c r="AQ39" s="321">
        <f t="shared" si="33"/>
        <v>0</v>
      </c>
      <c r="AR39" s="317">
        <f t="shared" si="34"/>
        <v>0</v>
      </c>
      <c r="AS39" s="317">
        <f t="shared" si="27"/>
        <v>51122556.553090937</v>
      </c>
      <c r="AT39" s="255">
        <v>13</v>
      </c>
      <c r="AU39" s="366">
        <f t="shared" si="35"/>
        <v>73032223.647272766</v>
      </c>
      <c r="AV39" s="368">
        <f t="shared" si="36"/>
        <v>534368220.54585081</v>
      </c>
      <c r="AW39" s="266">
        <f t="shared" si="37"/>
        <v>1</v>
      </c>
      <c r="AX39" s="370">
        <f t="shared" si="28"/>
        <v>21909667.094181828</v>
      </c>
    </row>
    <row r="40" spans="1:50" x14ac:dyDescent="0.25">
      <c r="A40" s="43">
        <v>2028</v>
      </c>
      <c r="B40" s="102">
        <v>147.77304372023585</v>
      </c>
      <c r="C40" s="1"/>
      <c r="D40" s="1"/>
      <c r="E40" s="43">
        <v>2033</v>
      </c>
      <c r="F40" s="36">
        <v>12.26</v>
      </c>
      <c r="G40" s="476">
        <f t="shared" si="26"/>
        <v>1.1620236420000001E-5</v>
      </c>
      <c r="H40" s="47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X40" s="329">
        <v>14</v>
      </c>
      <c r="Y40" s="423">
        <f t="shared" si="29"/>
        <v>81554167.279586628</v>
      </c>
      <c r="Z40" s="426"/>
      <c r="AA40" s="373"/>
      <c r="AB40" s="317">
        <f t="shared" si="38"/>
        <v>81554167.279586628</v>
      </c>
      <c r="AC40" s="317">
        <f t="shared" si="46"/>
        <v>15523169.537056636</v>
      </c>
      <c r="AD40" s="317">
        <f t="shared" si="39"/>
        <v>26125211.283402897</v>
      </c>
      <c r="AE40" s="354">
        <v>0</v>
      </c>
      <c r="AF40" s="355">
        <f t="shared" si="40"/>
        <v>1943601.8043075195</v>
      </c>
      <c r="AG40" s="356"/>
      <c r="AH40" s="360">
        <f t="shared" si="41"/>
        <v>10602041.746346261</v>
      </c>
      <c r="AI40" s="383">
        <f t="shared" si="30"/>
        <v>1631083.3455917325</v>
      </c>
      <c r="AJ40" s="374">
        <f t="shared" si="31"/>
        <v>4077708.3639793317</v>
      </c>
      <c r="AK40" s="402">
        <f t="shared" si="42"/>
        <v>75845375.570015565</v>
      </c>
      <c r="AL40" s="289"/>
      <c r="AM40" s="289">
        <f t="shared" si="43"/>
        <v>73901773.765708044</v>
      </c>
      <c r="AN40" s="319">
        <f t="shared" si="44"/>
        <v>73901773.765708044</v>
      </c>
      <c r="AO40" s="378">
        <f t="shared" si="45"/>
        <v>423165060.56798559</v>
      </c>
      <c r="AP40" s="317">
        <f t="shared" si="32"/>
        <v>22170532.129712414</v>
      </c>
      <c r="AQ40" s="321">
        <f t="shared" si="33"/>
        <v>0</v>
      </c>
      <c r="AR40" s="317">
        <f t="shared" si="34"/>
        <v>0</v>
      </c>
      <c r="AS40" s="317">
        <f t="shared" si="27"/>
        <v>51731241.635995626</v>
      </c>
      <c r="AT40" s="255">
        <v>14</v>
      </c>
      <c r="AU40" s="366">
        <f t="shared" si="35"/>
        <v>73901773.765708044</v>
      </c>
      <c r="AV40" s="368">
        <f t="shared" si="36"/>
        <v>608269994.31155884</v>
      </c>
      <c r="AW40" s="266">
        <f t="shared" si="37"/>
        <v>1</v>
      </c>
      <c r="AX40" s="370">
        <f t="shared" si="28"/>
        <v>22170532.129712414</v>
      </c>
    </row>
    <row r="41" spans="1:50" x14ac:dyDescent="0.25">
      <c r="A41" s="43">
        <v>2029</v>
      </c>
      <c r="B41" s="102">
        <v>150.25123673834733</v>
      </c>
      <c r="C41" s="1"/>
      <c r="D41" s="1"/>
      <c r="E41" s="43">
        <v>2034</v>
      </c>
      <c r="F41" s="36">
        <v>12.48</v>
      </c>
      <c r="G41" s="476">
        <f t="shared" si="26"/>
        <v>1.182875616E-5</v>
      </c>
      <c r="H41" s="47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X41" s="329">
        <v>15</v>
      </c>
      <c r="Y41" s="423">
        <f t="shared" si="29"/>
        <v>82626472.497058108</v>
      </c>
      <c r="Z41" s="426"/>
      <c r="AA41" s="373"/>
      <c r="AB41" s="317">
        <f t="shared" si="38"/>
        <v>82626472.497058108</v>
      </c>
      <c r="AC41" s="317">
        <f t="shared" si="46"/>
        <v>15490062.113058805</v>
      </c>
      <c r="AD41" s="317">
        <f t="shared" si="39"/>
        <v>26231503.537676357</v>
      </c>
      <c r="AE41" s="354">
        <v>0</v>
      </c>
      <c r="AF41" s="355">
        <f t="shared" si="40"/>
        <v>1943601.8043075195</v>
      </c>
      <c r="AG41" s="356"/>
      <c r="AH41" s="360">
        <f t="shared" si="41"/>
        <v>10741441.424617551</v>
      </c>
      <c r="AI41" s="383">
        <f t="shared" si="30"/>
        <v>1652529.4499411623</v>
      </c>
      <c r="AJ41" s="374">
        <f t="shared" si="31"/>
        <v>4131323.6248529055</v>
      </c>
      <c r="AK41" s="402">
        <f t="shared" si="42"/>
        <v>76842619.42226404</v>
      </c>
      <c r="AL41" s="289"/>
      <c r="AM41" s="289">
        <f t="shared" si="43"/>
        <v>74899017.617956519</v>
      </c>
      <c r="AN41" s="319">
        <f t="shared" si="44"/>
        <v>74899017.617956519</v>
      </c>
      <c r="AO41" s="378">
        <f t="shared" si="45"/>
        <v>498064078.18594211</v>
      </c>
      <c r="AP41" s="317">
        <f t="shared" si="32"/>
        <v>22469705.285386954</v>
      </c>
      <c r="AQ41" s="321">
        <f t="shared" si="33"/>
        <v>0</v>
      </c>
      <c r="AR41" s="317">
        <f t="shared" si="34"/>
        <v>0</v>
      </c>
      <c r="AS41" s="317">
        <f t="shared" si="27"/>
        <v>52429312.332569569</v>
      </c>
      <c r="AT41" s="255">
        <v>15</v>
      </c>
      <c r="AU41" s="366">
        <f t="shared" si="35"/>
        <v>74899017.617956519</v>
      </c>
      <c r="AV41" s="368">
        <f t="shared" si="36"/>
        <v>683169011.92951536</v>
      </c>
      <c r="AW41" s="266">
        <f t="shared" si="37"/>
        <v>1</v>
      </c>
      <c r="AX41" s="370">
        <f t="shared" si="28"/>
        <v>22469705.285386954</v>
      </c>
    </row>
    <row r="42" spans="1:50" ht="15.75" thickBot="1" x14ac:dyDescent="0.3">
      <c r="A42" s="43">
        <v>2030</v>
      </c>
      <c r="B42" s="102">
        <v>153.70391732150577</v>
      </c>
      <c r="C42" s="1"/>
      <c r="D42" s="1"/>
      <c r="E42" s="44">
        <v>2035</v>
      </c>
      <c r="F42" s="45">
        <v>12.56</v>
      </c>
      <c r="G42" s="477">
        <f t="shared" si="26"/>
        <v>1.190458152E-5</v>
      </c>
      <c r="H42" s="47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X42" s="329">
        <v>16</v>
      </c>
      <c r="Y42" s="423">
        <f t="shared" si="29"/>
        <v>83631845.608258769</v>
      </c>
      <c r="Z42" s="426"/>
      <c r="AA42" s="373"/>
      <c r="AB42" s="317">
        <f t="shared" si="38"/>
        <v>83631845.608258769</v>
      </c>
      <c r="AC42" s="317">
        <f t="shared" si="46"/>
        <v>15672831.265170313</v>
      </c>
      <c r="AD42" s="317">
        <f t="shared" si="39"/>
        <v>26544971.194243953</v>
      </c>
      <c r="AE42" s="354">
        <v>0</v>
      </c>
      <c r="AF42" s="355">
        <f t="shared" si="40"/>
        <v>1943601.8043075195</v>
      </c>
      <c r="AG42" s="356"/>
      <c r="AH42" s="360">
        <f t="shared" si="41"/>
        <v>10872139.929073639</v>
      </c>
      <c r="AI42" s="383">
        <f t="shared" si="30"/>
        <v>1672636.9121651754</v>
      </c>
      <c r="AJ42" s="374">
        <f t="shared" si="31"/>
        <v>4181592.2804129384</v>
      </c>
      <c r="AK42" s="402">
        <f t="shared" si="42"/>
        <v>77777616.415680647</v>
      </c>
      <c r="AL42" s="289"/>
      <c r="AM42" s="289">
        <f t="shared" si="43"/>
        <v>75834014.611373127</v>
      </c>
      <c r="AN42" s="319">
        <f t="shared" si="44"/>
        <v>75834014.611373127</v>
      </c>
      <c r="AO42" s="378">
        <f t="shared" si="45"/>
        <v>573898092.79731524</v>
      </c>
      <c r="AP42" s="317">
        <f t="shared" si="32"/>
        <v>22750204.383411936</v>
      </c>
      <c r="AQ42" s="321">
        <f t="shared" si="33"/>
        <v>0</v>
      </c>
      <c r="AR42" s="317">
        <f t="shared" si="34"/>
        <v>0</v>
      </c>
      <c r="AS42" s="317">
        <f t="shared" si="27"/>
        <v>53083810.22796119</v>
      </c>
      <c r="AT42" s="255">
        <v>16</v>
      </c>
      <c r="AU42" s="366">
        <f t="shared" si="35"/>
        <v>75834014.611373127</v>
      </c>
      <c r="AV42" s="368">
        <f t="shared" si="36"/>
        <v>759003026.54088855</v>
      </c>
      <c r="AW42" s="266">
        <f t="shared" si="37"/>
        <v>1</v>
      </c>
      <c r="AX42" s="370">
        <f t="shared" si="28"/>
        <v>22750204.383411936</v>
      </c>
    </row>
    <row r="43" spans="1:50" ht="15.75" thickBot="1" x14ac:dyDescent="0.3">
      <c r="A43" s="43">
        <v>2031</v>
      </c>
      <c r="B43" s="102">
        <v>156.97802049262847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16" t="s">
        <v>121</v>
      </c>
      <c r="T43" s="217"/>
      <c r="U43" s="224" t="s">
        <v>122</v>
      </c>
      <c r="V43" s="224" t="s">
        <v>143</v>
      </c>
      <c r="X43" s="330">
        <v>17</v>
      </c>
      <c r="Y43" s="427">
        <f t="shared" si="29"/>
        <v>84710632.083681047</v>
      </c>
      <c r="Z43" s="428"/>
      <c r="AA43" s="429"/>
      <c r="AB43" s="318">
        <f t="shared" si="38"/>
        <v>84710632.083681047</v>
      </c>
      <c r="AC43" s="318">
        <f t="shared" si="46"/>
        <v>15703591.577697398</v>
      </c>
      <c r="AD43" s="318">
        <f t="shared" si="39"/>
        <v>26715973.748575937</v>
      </c>
      <c r="AE43" s="357">
        <v>0</v>
      </c>
      <c r="AF43" s="358">
        <f t="shared" si="40"/>
        <v>1943601.8043075195</v>
      </c>
      <c r="AG43" s="359"/>
      <c r="AH43" s="361">
        <f t="shared" si="41"/>
        <v>11012382.170878539</v>
      </c>
      <c r="AI43" s="384">
        <f t="shared" si="30"/>
        <v>1694212.641673621</v>
      </c>
      <c r="AJ43" s="375">
        <f t="shared" si="31"/>
        <v>4235531.6041840529</v>
      </c>
      <c r="AK43" s="403">
        <f t="shared" si="42"/>
        <v>78780887.837823376</v>
      </c>
      <c r="AL43" s="289"/>
      <c r="AM43" s="289">
        <f t="shared" si="43"/>
        <v>76837286.033515856</v>
      </c>
      <c r="AN43" s="320">
        <f t="shared" si="44"/>
        <v>76837286.033515856</v>
      </c>
      <c r="AO43" s="379">
        <f t="shared" si="45"/>
        <v>650735378.83083105</v>
      </c>
      <c r="AP43" s="318">
        <f t="shared" si="32"/>
        <v>23051185.810054757</v>
      </c>
      <c r="AQ43" s="322">
        <f t="shared" si="33"/>
        <v>0</v>
      </c>
      <c r="AR43" s="318">
        <f t="shared" si="34"/>
        <v>0</v>
      </c>
      <c r="AS43" s="318">
        <f>AN43-AP43-AH43</f>
        <v>42773718.052582562</v>
      </c>
      <c r="AT43" s="258">
        <v>17</v>
      </c>
      <c r="AU43" s="367">
        <f t="shared" si="35"/>
        <v>76837286.033515856</v>
      </c>
      <c r="AV43" s="369">
        <f t="shared" si="36"/>
        <v>835840312.57440436</v>
      </c>
      <c r="AW43" s="267">
        <f t="shared" si="37"/>
        <v>1</v>
      </c>
      <c r="AX43" s="371">
        <f t="shared" si="28"/>
        <v>23051185.810054757</v>
      </c>
    </row>
    <row r="44" spans="1:50" x14ac:dyDescent="0.25">
      <c r="A44" s="43">
        <v>2032</v>
      </c>
      <c r="B44" s="102">
        <v>160.6168452886636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20" t="s">
        <v>123</v>
      </c>
      <c r="T44" s="121"/>
      <c r="U44" s="218">
        <v>0.18</v>
      </c>
      <c r="V44" s="219">
        <f>-$U$5*U44</f>
        <v>33318888.073843189</v>
      </c>
      <c r="AK44" s="95"/>
      <c r="AM44" s="95"/>
      <c r="AN44" t="s">
        <v>189</v>
      </c>
    </row>
    <row r="45" spans="1:50" x14ac:dyDescent="0.25">
      <c r="A45" s="43">
        <v>2033</v>
      </c>
      <c r="B45" s="102">
        <v>162.17811380756027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20" t="s">
        <v>124</v>
      </c>
      <c r="T45" s="121"/>
      <c r="U45" s="218">
        <v>0.03</v>
      </c>
      <c r="V45" s="219">
        <f t="shared" ref="V45:V52" si="47">-$U$5*U45</f>
        <v>5553148.0123071978</v>
      </c>
      <c r="AM45" t="s">
        <v>249</v>
      </c>
      <c r="AN45" s="213">
        <v>0.12</v>
      </c>
    </row>
    <row r="46" spans="1:50" x14ac:dyDescent="0.25">
      <c r="A46" s="43">
        <v>2034</v>
      </c>
      <c r="B46" s="102">
        <v>165.12287406424343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20" t="s">
        <v>131</v>
      </c>
      <c r="T46" s="121"/>
      <c r="U46" s="218">
        <v>0.09</v>
      </c>
      <c r="V46" s="219">
        <f t="shared" si="47"/>
        <v>16659444.036921594</v>
      </c>
      <c r="X46" s="761" t="s">
        <v>7</v>
      </c>
      <c r="Y46" s="738" t="s">
        <v>133</v>
      </c>
      <c r="Z46" s="736" t="s">
        <v>134</v>
      </c>
      <c r="AA46" s="734" t="s">
        <v>135</v>
      </c>
      <c r="AB46" s="738" t="s">
        <v>136</v>
      </c>
      <c r="AC46" s="736"/>
      <c r="AD46" s="734" t="s">
        <v>139</v>
      </c>
      <c r="AE46" s="738" t="s">
        <v>165</v>
      </c>
      <c r="AF46" s="736" t="s">
        <v>147</v>
      </c>
      <c r="AG46" s="734" t="s">
        <v>152</v>
      </c>
      <c r="AH46" s="732" t="s">
        <v>153</v>
      </c>
      <c r="AI46" s="732" t="s">
        <v>139</v>
      </c>
      <c r="AJ46" s="732" t="s">
        <v>154</v>
      </c>
      <c r="AK46" s="732" t="s">
        <v>155</v>
      </c>
      <c r="AL46" s="732" t="s">
        <v>156</v>
      </c>
      <c r="AM46" t="s">
        <v>250</v>
      </c>
      <c r="AN46">
        <v>17</v>
      </c>
      <c r="AO46" s="754" t="s">
        <v>164</v>
      </c>
      <c r="AP46" s="755"/>
      <c r="AQ46" s="755"/>
      <c r="AR46" s="755"/>
      <c r="AS46" s="756"/>
    </row>
    <row r="47" spans="1:50" ht="24.75" thickBot="1" x14ac:dyDescent="0.3">
      <c r="A47" s="44">
        <v>2035</v>
      </c>
      <c r="B47" s="105">
        <v>167.14457448356069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20" t="s">
        <v>125</v>
      </c>
      <c r="T47" s="121"/>
      <c r="U47" s="218">
        <v>0.08</v>
      </c>
      <c r="V47" s="219">
        <f t="shared" si="47"/>
        <v>14808394.699485863</v>
      </c>
      <c r="X47" s="762"/>
      <c r="Y47" s="739"/>
      <c r="Z47" s="737"/>
      <c r="AA47" s="735"/>
      <c r="AB47" s="305" t="s">
        <v>137</v>
      </c>
      <c r="AC47" s="304" t="s">
        <v>138</v>
      </c>
      <c r="AD47" s="735"/>
      <c r="AE47" s="739"/>
      <c r="AF47" s="737"/>
      <c r="AG47" s="735"/>
      <c r="AH47" s="733"/>
      <c r="AI47" s="733"/>
      <c r="AJ47" s="733"/>
      <c r="AK47" s="733"/>
      <c r="AL47" s="733"/>
      <c r="AM47" t="s">
        <v>96</v>
      </c>
      <c r="AN47" s="95">
        <f>NPV(T26,AN27:AN43)</f>
        <v>260349268.78206596</v>
      </c>
      <c r="AO47" s="268" t="s">
        <v>22</v>
      </c>
      <c r="AP47" s="291" t="s">
        <v>148</v>
      </c>
      <c r="AQ47" s="262" t="s">
        <v>149</v>
      </c>
      <c r="AR47" s="265"/>
      <c r="AS47" s="263" t="s">
        <v>152</v>
      </c>
    </row>
    <row r="48" spans="1:50" x14ac:dyDescent="0.25">
      <c r="S48" s="120" t="s">
        <v>126</v>
      </c>
      <c r="T48" s="121"/>
      <c r="U48" s="218">
        <v>0.1</v>
      </c>
      <c r="V48" s="219">
        <f t="shared" si="47"/>
        <v>18510493.374357328</v>
      </c>
      <c r="X48" s="282">
        <v>0</v>
      </c>
      <c r="Y48" s="283"/>
      <c r="Z48" s="169"/>
      <c r="AA48" s="254">
        <f t="shared" ref="AA48:AA65" si="48">Y48-Z48</f>
        <v>0</v>
      </c>
      <c r="AB48" s="283"/>
      <c r="AC48" s="169"/>
      <c r="AD48" s="254">
        <f t="shared" ref="AD48:AD65" si="49">AB48+AC48</f>
        <v>0</v>
      </c>
      <c r="AE48" s="283"/>
      <c r="AF48" s="169"/>
      <c r="AG48" s="254">
        <f t="shared" ref="AG48:AG65" si="50">AS48</f>
        <v>0</v>
      </c>
      <c r="AH48" s="275">
        <f t="shared" ref="AH48:AH65" si="51">AF48-AG48</f>
        <v>0</v>
      </c>
      <c r="AI48" s="275"/>
      <c r="AJ48" s="275">
        <f>'Análisis Finan CCGT Nuevo'!K34*-1</f>
        <v>0</v>
      </c>
      <c r="AK48" s="275">
        <f>AH48+AI48-AJ48</f>
        <v>0</v>
      </c>
      <c r="AL48" s="275">
        <f>AK48</f>
        <v>0</v>
      </c>
      <c r="AM48" t="s">
        <v>190</v>
      </c>
      <c r="AN48" s="95">
        <f>AN47+AO26</f>
        <v>75244335.03849268</v>
      </c>
      <c r="AO48" s="255">
        <v>0</v>
      </c>
      <c r="AP48" s="292"/>
      <c r="AQ48" s="161"/>
      <c r="AR48" s="266">
        <f>IF(AQ48&gt;0,1,0)</f>
        <v>0</v>
      </c>
      <c r="AS48" s="254">
        <f t="shared" ref="AS48:AS65" si="52">MIN(AP48:AQ48)*AR48*$S$60</f>
        <v>0</v>
      </c>
    </row>
    <row r="49" spans="18:45" x14ac:dyDescent="0.25">
      <c r="S49" s="120" t="s">
        <v>127</v>
      </c>
      <c r="T49" s="121"/>
      <c r="U49" s="218">
        <v>0.09</v>
      </c>
      <c r="V49" s="219">
        <f t="shared" si="47"/>
        <v>16659444.036921594</v>
      </c>
      <c r="X49" s="282">
        <v>1</v>
      </c>
      <c r="Y49" s="283">
        <f>(O6+P6)/1000</f>
        <v>163621.11389718551</v>
      </c>
      <c r="Z49" s="169">
        <f>(Q6+R6+S6)/1000</f>
        <v>93705.667784599776</v>
      </c>
      <c r="AA49" s="254">
        <f t="shared" si="48"/>
        <v>69915.446112585734</v>
      </c>
      <c r="AB49" s="283">
        <f>U57</f>
        <v>29246.579531484582</v>
      </c>
      <c r="AC49" s="169">
        <f>U58</f>
        <v>1943.6018043075194</v>
      </c>
      <c r="AD49" s="254">
        <f t="shared" si="49"/>
        <v>31190.181335792102</v>
      </c>
      <c r="AE49" s="284">
        <f>'Análisis Finan CCGT Nuevo'!I35</f>
        <v>0</v>
      </c>
      <c r="AF49" s="169">
        <f t="shared" ref="AF49:AF65" si="53">AA49-AD49-AE49</f>
        <v>38725.264776793629</v>
      </c>
      <c r="AG49" s="254">
        <f t="shared" si="50"/>
        <v>11617.579433038089</v>
      </c>
      <c r="AH49" s="275">
        <f t="shared" si="51"/>
        <v>27107.68534375554</v>
      </c>
      <c r="AI49" s="275">
        <f t="shared" ref="AI49:AI65" si="54">AD49</f>
        <v>31190.181335792102</v>
      </c>
      <c r="AJ49" s="275"/>
      <c r="AK49" s="275">
        <f t="shared" ref="AK49:AK65" si="55">AH49+AI49+AJ49</f>
        <v>58297.866679547646</v>
      </c>
      <c r="AL49" s="275">
        <f t="shared" ref="AL49:AL65" si="56">AL48+AK49</f>
        <v>58297.866679547646</v>
      </c>
      <c r="AM49" t="s">
        <v>51</v>
      </c>
      <c r="AN49" s="95">
        <f>-PMT(AN45,AN46,AN48)</f>
        <v>10568573.062957689</v>
      </c>
      <c r="AO49" s="255">
        <v>1</v>
      </c>
      <c r="AP49" s="242">
        <f t="shared" ref="AP49:AP65" si="57">AF49</f>
        <v>38725.264776793629</v>
      </c>
      <c r="AQ49" s="243">
        <f t="shared" ref="AQ49:AQ65" si="58">AP49+AQ48</f>
        <v>38725.264776793629</v>
      </c>
      <c r="AR49" s="266">
        <f t="shared" ref="AR49:AR65" si="59">IF(AQ49&gt;0,1,0)</f>
        <v>1</v>
      </c>
      <c r="AS49" s="254">
        <f t="shared" si="52"/>
        <v>11617.579433038089</v>
      </c>
    </row>
    <row r="50" spans="18:45" x14ac:dyDescent="0.25">
      <c r="S50" s="120" t="s">
        <v>128</v>
      </c>
      <c r="T50" s="121"/>
      <c r="U50" s="218">
        <v>0.03</v>
      </c>
      <c r="V50" s="219">
        <f t="shared" si="47"/>
        <v>5553148.0123071978</v>
      </c>
      <c r="X50" s="282">
        <v>2</v>
      </c>
      <c r="Y50" s="283">
        <f t="shared" ref="Y50:Y65" si="60">(O7+P7)/1000</f>
        <v>168767.38279887434</v>
      </c>
      <c r="Z50" s="169">
        <f t="shared" ref="Z50:Z65" si="61">(Q7+R7+S7)/1000</f>
        <v>98081.811414851691</v>
      </c>
      <c r="AA50" s="254">
        <f t="shared" si="48"/>
        <v>70685.571384022653</v>
      </c>
      <c r="AB50" s="283">
        <f t="shared" ref="AB50:AC65" si="62">AB49</f>
        <v>29246.579531484582</v>
      </c>
      <c r="AC50" s="169">
        <f t="shared" si="62"/>
        <v>1943.6018043075194</v>
      </c>
      <c r="AD50" s="254">
        <f t="shared" si="49"/>
        <v>31190.181335792102</v>
      </c>
      <c r="AE50" s="284">
        <f>'Análisis Finan CCGT Nuevo'!I36</f>
        <v>0</v>
      </c>
      <c r="AF50" s="169">
        <f t="shared" si="53"/>
        <v>39495.390048230547</v>
      </c>
      <c r="AG50" s="254">
        <f t="shared" si="50"/>
        <v>11848.617014469164</v>
      </c>
      <c r="AH50" s="275">
        <f t="shared" si="51"/>
        <v>27646.773033761383</v>
      </c>
      <c r="AI50" s="275">
        <f t="shared" si="54"/>
        <v>31190.181335792102</v>
      </c>
      <c r="AJ50" s="275"/>
      <c r="AK50" s="275">
        <f t="shared" si="55"/>
        <v>58836.954369553481</v>
      </c>
      <c r="AL50" s="275">
        <f t="shared" si="56"/>
        <v>117134.82104910113</v>
      </c>
      <c r="AM50" t="s">
        <v>52</v>
      </c>
      <c r="AN50" s="293">
        <f>AN47/-AO26</f>
        <v>1.4064955672263657</v>
      </c>
      <c r="AO50" s="255">
        <v>2</v>
      </c>
      <c r="AP50" s="242">
        <f t="shared" si="57"/>
        <v>39495.390048230547</v>
      </c>
      <c r="AQ50" s="243">
        <f t="shared" si="58"/>
        <v>78220.654825024176</v>
      </c>
      <c r="AR50" s="266">
        <f t="shared" si="59"/>
        <v>1</v>
      </c>
      <c r="AS50" s="254">
        <f t="shared" si="52"/>
        <v>11848.617014469164</v>
      </c>
    </row>
    <row r="51" spans="18:45" x14ac:dyDescent="0.25">
      <c r="S51" s="120" t="s">
        <v>130</v>
      </c>
      <c r="T51" s="121"/>
      <c r="U51" s="218">
        <v>0.08</v>
      </c>
      <c r="V51" s="219">
        <f t="shared" si="47"/>
        <v>14808394.699485863</v>
      </c>
      <c r="X51" s="282">
        <v>3</v>
      </c>
      <c r="Y51" s="283">
        <f t="shared" si="60"/>
        <v>172790.34945674308</v>
      </c>
      <c r="Z51" s="169">
        <f t="shared" si="61"/>
        <v>101296.6335617466</v>
      </c>
      <c r="AA51" s="254">
        <f t="shared" si="48"/>
        <v>71493.71589499648</v>
      </c>
      <c r="AB51" s="283">
        <f t="shared" si="62"/>
        <v>29246.579531484582</v>
      </c>
      <c r="AC51" s="169">
        <f t="shared" si="62"/>
        <v>1943.6018043075194</v>
      </c>
      <c r="AD51" s="254">
        <f t="shared" si="49"/>
        <v>31190.181335792102</v>
      </c>
      <c r="AE51" s="284">
        <f>'Análisis Finan CCGT Nuevo'!I37</f>
        <v>-166594440.36921597</v>
      </c>
      <c r="AF51" s="169">
        <f t="shared" si="53"/>
        <v>166634743.90377516</v>
      </c>
      <c r="AG51" s="254">
        <f t="shared" si="50"/>
        <v>49990423.171132542</v>
      </c>
      <c r="AH51" s="275">
        <f t="shared" si="51"/>
        <v>116644320.73264262</v>
      </c>
      <c r="AI51" s="275">
        <f t="shared" si="54"/>
        <v>31190.181335792102</v>
      </c>
      <c r="AJ51" s="275"/>
      <c r="AK51" s="275">
        <f t="shared" si="55"/>
        <v>116675510.91397841</v>
      </c>
      <c r="AL51" s="275">
        <f t="shared" si="56"/>
        <v>116792645.73502751</v>
      </c>
      <c r="AM51" t="s">
        <v>53</v>
      </c>
      <c r="AN51" s="522">
        <f>IRR(AM26:AM43)</f>
        <v>0.16411957013962386</v>
      </c>
      <c r="AO51" s="255">
        <v>3</v>
      </c>
      <c r="AP51" s="242">
        <f t="shared" si="57"/>
        <v>166634743.90377516</v>
      </c>
      <c r="AQ51" s="243">
        <f t="shared" si="58"/>
        <v>166712964.55860019</v>
      </c>
      <c r="AR51" s="266">
        <f t="shared" si="59"/>
        <v>1</v>
      </c>
      <c r="AS51" s="254">
        <f t="shared" si="52"/>
        <v>49990423.171132542</v>
      </c>
    </row>
    <row r="52" spans="18:45" x14ac:dyDescent="0.25">
      <c r="S52" s="120" t="s">
        <v>129</v>
      </c>
      <c r="T52" s="121"/>
      <c r="U52" s="218">
        <v>0.32</v>
      </c>
      <c r="V52" s="219">
        <f t="shared" si="47"/>
        <v>59233578.797943451</v>
      </c>
      <c r="X52" s="282">
        <v>4</v>
      </c>
      <c r="Y52" s="283">
        <f t="shared" si="60"/>
        <v>176041.71474689301</v>
      </c>
      <c r="Z52" s="169">
        <f t="shared" si="61"/>
        <v>103708.52559632204</v>
      </c>
      <c r="AA52" s="254">
        <f t="shared" si="48"/>
        <v>72333.189150570965</v>
      </c>
      <c r="AB52" s="283">
        <f t="shared" si="62"/>
        <v>29246.579531484582</v>
      </c>
      <c r="AC52" s="169">
        <f t="shared" si="62"/>
        <v>1943.6018043075194</v>
      </c>
      <c r="AD52" s="254">
        <f t="shared" si="49"/>
        <v>31190.181335792102</v>
      </c>
      <c r="AE52" s="284" t="str">
        <f>'Análisis Finan CCGT Nuevo'!I38</f>
        <v>Pago</v>
      </c>
      <c r="AF52" s="169" t="e">
        <f t="shared" si="53"/>
        <v>#VALUE!</v>
      </c>
      <c r="AG52" s="254" t="e">
        <f t="shared" si="50"/>
        <v>#VALUE!</v>
      </c>
      <c r="AH52" s="275" t="e">
        <f t="shared" si="51"/>
        <v>#VALUE!</v>
      </c>
      <c r="AI52" s="275">
        <f t="shared" si="54"/>
        <v>31190.181335792102</v>
      </c>
      <c r="AJ52" s="275"/>
      <c r="AK52" s="275" t="e">
        <f t="shared" si="55"/>
        <v>#VALUE!</v>
      </c>
      <c r="AL52" s="275" t="e">
        <f t="shared" si="56"/>
        <v>#VALUE!</v>
      </c>
      <c r="AM52" t="s">
        <v>191</v>
      </c>
      <c r="AN52" s="213">
        <f>MIRR(AM26:AM43,AN51,T26)</f>
        <v>0.14269951829347427</v>
      </c>
      <c r="AO52" s="255">
        <v>4</v>
      </c>
      <c r="AP52" s="242" t="e">
        <f t="shared" si="57"/>
        <v>#VALUE!</v>
      </c>
      <c r="AQ52" s="243" t="e">
        <f t="shared" si="58"/>
        <v>#VALUE!</v>
      </c>
      <c r="AR52" s="266" t="e">
        <f t="shared" si="59"/>
        <v>#VALUE!</v>
      </c>
      <c r="AS52" s="254" t="e">
        <f t="shared" si="52"/>
        <v>#VALUE!</v>
      </c>
    </row>
    <row r="53" spans="18:45" x14ac:dyDescent="0.25">
      <c r="S53" s="220"/>
      <c r="T53" s="221" t="s">
        <v>132</v>
      </c>
      <c r="U53" s="222">
        <f>SUM(U44:U52)</f>
        <v>1</v>
      </c>
      <c r="V53" s="223">
        <f>SUM(V44:V52)</f>
        <v>185104933.74357328</v>
      </c>
      <c r="X53" s="282">
        <v>5</v>
      </c>
      <c r="Y53" s="283">
        <f t="shared" si="60"/>
        <v>178200.10628587767</v>
      </c>
      <c r="Z53" s="169">
        <f t="shared" si="61"/>
        <v>104980.69163009642</v>
      </c>
      <c r="AA53" s="254">
        <f t="shared" si="48"/>
        <v>73219.414655781249</v>
      </c>
      <c r="AB53" s="283">
        <f t="shared" si="62"/>
        <v>29246.579531484582</v>
      </c>
      <c r="AC53" s="169">
        <f t="shared" si="62"/>
        <v>1943.6018043075194</v>
      </c>
      <c r="AD53" s="254">
        <f t="shared" si="49"/>
        <v>31190.181335792102</v>
      </c>
      <c r="AE53" s="284">
        <f>'Análisis Finan CCGT Nuevo'!I39</f>
        <v>0</v>
      </c>
      <c r="AF53" s="169">
        <f t="shared" si="53"/>
        <v>42029.233319989144</v>
      </c>
      <c r="AG53" s="254" t="e">
        <f t="shared" si="50"/>
        <v>#VALUE!</v>
      </c>
      <c r="AH53" s="275" t="e">
        <f t="shared" si="51"/>
        <v>#VALUE!</v>
      </c>
      <c r="AI53" s="275">
        <f t="shared" si="54"/>
        <v>31190.181335792102</v>
      </c>
      <c r="AJ53" s="275"/>
      <c r="AK53" s="275" t="e">
        <f t="shared" si="55"/>
        <v>#VALUE!</v>
      </c>
      <c r="AL53" s="275" t="e">
        <f t="shared" si="56"/>
        <v>#VALUE!</v>
      </c>
      <c r="AM53" t="s">
        <v>192</v>
      </c>
      <c r="AN53" s="293">
        <f>8-AO34/(-AO34+AO35)</f>
        <v>7.3426617690823432</v>
      </c>
      <c r="AO53" s="255">
        <v>5</v>
      </c>
      <c r="AP53" s="242">
        <f t="shared" si="57"/>
        <v>42029.233319989144</v>
      </c>
      <c r="AQ53" s="243" t="e">
        <f t="shared" si="58"/>
        <v>#VALUE!</v>
      </c>
      <c r="AR53" s="266" t="e">
        <f t="shared" si="59"/>
        <v>#VALUE!</v>
      </c>
      <c r="AS53" s="254" t="e">
        <f t="shared" si="52"/>
        <v>#VALUE!</v>
      </c>
    </row>
    <row r="54" spans="18:45" x14ac:dyDescent="0.25">
      <c r="X54" s="282">
        <v>6</v>
      </c>
      <c r="Y54" s="283">
        <f t="shared" si="60"/>
        <v>180276.46746583609</v>
      </c>
      <c r="Z54" s="169">
        <f t="shared" si="61"/>
        <v>106156.76562526078</v>
      </c>
      <c r="AA54" s="254">
        <f t="shared" si="48"/>
        <v>74119.701840575304</v>
      </c>
      <c r="AB54" s="283">
        <f t="shared" si="62"/>
        <v>29246.579531484582</v>
      </c>
      <c r="AC54" s="169">
        <f t="shared" si="62"/>
        <v>1943.6018043075194</v>
      </c>
      <c r="AD54" s="254">
        <f t="shared" si="49"/>
        <v>31190.181335792102</v>
      </c>
      <c r="AE54" s="284">
        <f>'Análisis Finan CCGT Nuevo'!I40</f>
        <v>0</v>
      </c>
      <c r="AF54" s="169">
        <f t="shared" si="53"/>
        <v>42929.520504783199</v>
      </c>
      <c r="AG54" s="254" t="e">
        <f t="shared" si="50"/>
        <v>#VALUE!</v>
      </c>
      <c r="AH54" s="275" t="e">
        <f t="shared" si="51"/>
        <v>#VALUE!</v>
      </c>
      <c r="AI54" s="275">
        <f t="shared" si="54"/>
        <v>31190.181335792102</v>
      </c>
      <c r="AJ54" s="275"/>
      <c r="AK54" s="275" t="e">
        <f t="shared" si="55"/>
        <v>#VALUE!</v>
      </c>
      <c r="AL54" s="275" t="e">
        <f t="shared" si="56"/>
        <v>#VALUE!</v>
      </c>
      <c r="AO54" s="255">
        <v>6</v>
      </c>
      <c r="AP54" s="242">
        <f t="shared" si="57"/>
        <v>42929.520504783199</v>
      </c>
      <c r="AQ54" s="243" t="e">
        <f t="shared" si="58"/>
        <v>#VALUE!</v>
      </c>
      <c r="AR54" s="266" t="e">
        <f t="shared" si="59"/>
        <v>#VALUE!</v>
      </c>
      <c r="AS54" s="254" t="e">
        <f t="shared" si="52"/>
        <v>#VALUE!</v>
      </c>
    </row>
    <row r="55" spans="18:45" x14ac:dyDescent="0.25">
      <c r="X55" s="282">
        <v>7</v>
      </c>
      <c r="Y55" s="283">
        <f t="shared" si="60"/>
        <v>183426.58624450272</v>
      </c>
      <c r="Z55" s="169">
        <f t="shared" si="61"/>
        <v>108437.17566124885</v>
      </c>
      <c r="AA55" s="254">
        <f t="shared" si="48"/>
        <v>74989.410583253863</v>
      </c>
      <c r="AB55" s="283">
        <f t="shared" si="62"/>
        <v>29246.579531484582</v>
      </c>
      <c r="AC55" s="169">
        <f t="shared" si="62"/>
        <v>1943.6018043075194</v>
      </c>
      <c r="AD55" s="254">
        <f t="shared" si="49"/>
        <v>31190.181335792102</v>
      </c>
      <c r="AE55" s="284">
        <f>'Análisis Finan CCGT Nuevo'!I41</f>
        <v>0</v>
      </c>
      <c r="AF55" s="169">
        <f t="shared" si="53"/>
        <v>43799.229247461757</v>
      </c>
      <c r="AG55" s="254" t="e">
        <f t="shared" si="50"/>
        <v>#VALUE!</v>
      </c>
      <c r="AH55" s="275" t="e">
        <f t="shared" si="51"/>
        <v>#VALUE!</v>
      </c>
      <c r="AI55" s="275">
        <f t="shared" si="54"/>
        <v>31190.181335792102</v>
      </c>
      <c r="AJ55" s="275"/>
      <c r="AK55" s="275" t="e">
        <f t="shared" si="55"/>
        <v>#VALUE!</v>
      </c>
      <c r="AL55" s="275" t="e">
        <f t="shared" si="56"/>
        <v>#VALUE!</v>
      </c>
      <c r="AO55" s="255">
        <v>7</v>
      </c>
      <c r="AP55" s="242">
        <f t="shared" si="57"/>
        <v>43799.229247461757</v>
      </c>
      <c r="AQ55" s="243" t="e">
        <f t="shared" si="58"/>
        <v>#VALUE!</v>
      </c>
      <c r="AR55" s="266" t="e">
        <f t="shared" si="59"/>
        <v>#VALUE!</v>
      </c>
      <c r="AS55" s="254" t="e">
        <f t="shared" si="52"/>
        <v>#VALUE!</v>
      </c>
    </row>
    <row r="56" spans="18:45" x14ac:dyDescent="0.25">
      <c r="R56" s="214"/>
      <c r="S56" s="233" t="s">
        <v>144</v>
      </c>
      <c r="T56" s="236" t="s">
        <v>142</v>
      </c>
      <c r="U56" s="217" t="s">
        <v>145</v>
      </c>
      <c r="V56" s="233" t="s">
        <v>146</v>
      </c>
      <c r="X56" s="282">
        <v>8</v>
      </c>
      <c r="Y56" s="283">
        <f t="shared" si="60"/>
        <v>186322.14041196156</v>
      </c>
      <c r="Z56" s="169">
        <f t="shared" si="61"/>
        <v>110444.24090875164</v>
      </c>
      <c r="AA56" s="254">
        <f t="shared" si="48"/>
        <v>75877.899503209919</v>
      </c>
      <c r="AB56" s="283">
        <f t="shared" si="62"/>
        <v>29246.579531484582</v>
      </c>
      <c r="AC56" s="169">
        <f t="shared" si="62"/>
        <v>1943.6018043075194</v>
      </c>
      <c r="AD56" s="254">
        <f t="shared" si="49"/>
        <v>31190.181335792102</v>
      </c>
      <c r="AE56" s="284">
        <f>'Análisis Finan CCGT Nuevo'!I42</f>
        <v>0</v>
      </c>
      <c r="AF56" s="169">
        <f t="shared" si="53"/>
        <v>44687.718167417814</v>
      </c>
      <c r="AG56" s="254" t="e">
        <f t="shared" si="50"/>
        <v>#VALUE!</v>
      </c>
      <c r="AH56" s="275" t="e">
        <f t="shared" si="51"/>
        <v>#VALUE!</v>
      </c>
      <c r="AI56" s="275">
        <f t="shared" si="54"/>
        <v>31190.181335792102</v>
      </c>
      <c r="AJ56" s="275"/>
      <c r="AK56" s="275" t="e">
        <f t="shared" si="55"/>
        <v>#VALUE!</v>
      </c>
      <c r="AL56" s="275" t="e">
        <f t="shared" si="56"/>
        <v>#VALUE!</v>
      </c>
      <c r="AO56" s="255">
        <v>8</v>
      </c>
      <c r="AP56" s="242">
        <f t="shared" si="57"/>
        <v>44687.718167417814</v>
      </c>
      <c r="AQ56" s="243" t="e">
        <f t="shared" si="58"/>
        <v>#VALUE!</v>
      </c>
      <c r="AR56" s="266" t="e">
        <f t="shared" si="59"/>
        <v>#VALUE!</v>
      </c>
      <c r="AS56" s="254" t="e">
        <f t="shared" si="52"/>
        <v>#VALUE!</v>
      </c>
    </row>
    <row r="57" spans="18:45" x14ac:dyDescent="0.25">
      <c r="R57" s="231" t="s">
        <v>140</v>
      </c>
      <c r="S57" s="234">
        <f>SUM(V46:V52)/1000</f>
        <v>146232.8976574229</v>
      </c>
      <c r="T57" s="237">
        <f>1/V57</f>
        <v>0.2</v>
      </c>
      <c r="U57" s="229">
        <f>S57*T57</f>
        <v>29246.579531484582</v>
      </c>
      <c r="V57" s="239">
        <v>5</v>
      </c>
      <c r="X57" s="282">
        <v>9</v>
      </c>
      <c r="Y57" s="283">
        <f t="shared" si="60"/>
        <v>188525.11720114425</v>
      </c>
      <c r="Z57" s="169">
        <f t="shared" si="61"/>
        <v>111585.21469352159</v>
      </c>
      <c r="AA57" s="254">
        <f t="shared" si="48"/>
        <v>76939.902507622668</v>
      </c>
      <c r="AB57" s="283">
        <f t="shared" si="62"/>
        <v>29246.579531484582</v>
      </c>
      <c r="AC57" s="169">
        <f t="shared" si="62"/>
        <v>1943.6018043075194</v>
      </c>
      <c r="AD57" s="254">
        <f t="shared" si="49"/>
        <v>31190.181335792102</v>
      </c>
      <c r="AE57" s="284">
        <f>'Análisis Finan CCGT Nuevo'!I43</f>
        <v>0</v>
      </c>
      <c r="AF57" s="169">
        <f t="shared" si="53"/>
        <v>45749.721171830563</v>
      </c>
      <c r="AG57" s="254" t="e">
        <f t="shared" si="50"/>
        <v>#VALUE!</v>
      </c>
      <c r="AH57" s="275" t="e">
        <f t="shared" si="51"/>
        <v>#VALUE!</v>
      </c>
      <c r="AI57" s="275">
        <f t="shared" si="54"/>
        <v>31190.181335792102</v>
      </c>
      <c r="AJ57" s="275"/>
      <c r="AK57" s="275" t="e">
        <f t="shared" si="55"/>
        <v>#VALUE!</v>
      </c>
      <c r="AL57" s="275" t="e">
        <f t="shared" si="56"/>
        <v>#VALUE!</v>
      </c>
      <c r="AO57" s="255">
        <v>9</v>
      </c>
      <c r="AP57" s="242">
        <f t="shared" si="57"/>
        <v>45749.721171830563</v>
      </c>
      <c r="AQ57" s="243" t="e">
        <f t="shared" si="58"/>
        <v>#VALUE!</v>
      </c>
      <c r="AR57" s="266" t="e">
        <f t="shared" si="59"/>
        <v>#VALUE!</v>
      </c>
      <c r="AS57" s="254" t="e">
        <f t="shared" si="52"/>
        <v>#VALUE!</v>
      </c>
    </row>
    <row r="58" spans="18:45" x14ac:dyDescent="0.25">
      <c r="R58" s="232" t="s">
        <v>141</v>
      </c>
      <c r="S58" s="235">
        <f>SUM(V44:V45)/1000</f>
        <v>38872.036086150387</v>
      </c>
      <c r="T58" s="238">
        <f>1/V58</f>
        <v>0.05</v>
      </c>
      <c r="U58" s="230">
        <f>S58*T58</f>
        <v>1943.6018043075194</v>
      </c>
      <c r="V58" s="215">
        <v>20</v>
      </c>
      <c r="X58" s="282">
        <v>10</v>
      </c>
      <c r="Y58" s="283">
        <f t="shared" si="60"/>
        <v>189660.27272417652</v>
      </c>
      <c r="Z58" s="169">
        <f t="shared" si="61"/>
        <v>111869.13186370143</v>
      </c>
      <c r="AA58" s="254">
        <f t="shared" si="48"/>
        <v>77791.14086047509</v>
      </c>
      <c r="AB58" s="283">
        <f t="shared" si="62"/>
        <v>29246.579531484582</v>
      </c>
      <c r="AC58" s="169">
        <f t="shared" si="62"/>
        <v>1943.6018043075194</v>
      </c>
      <c r="AD58" s="254">
        <f t="shared" si="49"/>
        <v>31190.181335792102</v>
      </c>
      <c r="AE58" s="284">
        <f>'Análisis Finan CCGT Nuevo'!I44</f>
        <v>0</v>
      </c>
      <c r="AF58" s="169">
        <f t="shared" si="53"/>
        <v>46600.959524682985</v>
      </c>
      <c r="AG58" s="254" t="e">
        <f t="shared" si="50"/>
        <v>#VALUE!</v>
      </c>
      <c r="AH58" s="275" t="e">
        <f t="shared" si="51"/>
        <v>#VALUE!</v>
      </c>
      <c r="AI58" s="275">
        <f t="shared" si="54"/>
        <v>31190.181335792102</v>
      </c>
      <c r="AJ58" s="275"/>
      <c r="AK58" s="275" t="e">
        <f t="shared" si="55"/>
        <v>#VALUE!</v>
      </c>
      <c r="AL58" s="275" t="e">
        <f t="shared" si="56"/>
        <v>#VALUE!</v>
      </c>
      <c r="AO58" s="255">
        <v>10</v>
      </c>
      <c r="AP58" s="242">
        <f t="shared" si="57"/>
        <v>46600.959524682985</v>
      </c>
      <c r="AQ58" s="243" t="e">
        <f t="shared" si="58"/>
        <v>#VALUE!</v>
      </c>
      <c r="AR58" s="266" t="e">
        <f t="shared" si="59"/>
        <v>#VALUE!</v>
      </c>
      <c r="AS58" s="254" t="e">
        <f t="shared" si="52"/>
        <v>#VALUE!</v>
      </c>
    </row>
    <row r="59" spans="18:45" x14ac:dyDescent="0.25">
      <c r="X59" s="282">
        <v>11</v>
      </c>
      <c r="Y59" s="283">
        <f t="shared" si="60"/>
        <v>191663.31974923456</v>
      </c>
      <c r="Z59" s="169">
        <f t="shared" si="61"/>
        <v>112910.09495686329</v>
      </c>
      <c r="AA59" s="254">
        <f t="shared" si="48"/>
        <v>78753.224792371271</v>
      </c>
      <c r="AB59" s="283">
        <v>0</v>
      </c>
      <c r="AC59" s="169">
        <f t="shared" si="62"/>
        <v>1943.6018043075194</v>
      </c>
      <c r="AD59" s="254">
        <f t="shared" si="49"/>
        <v>1943.6018043075194</v>
      </c>
      <c r="AE59" s="283">
        <f>'Análisis Finan CCGT Nuevo'!I45</f>
        <v>20376314.71409487</v>
      </c>
      <c r="AF59" s="169">
        <f t="shared" si="53"/>
        <v>-20299505.091106806</v>
      </c>
      <c r="AG59" s="254" t="e">
        <f t="shared" si="50"/>
        <v>#VALUE!</v>
      </c>
      <c r="AH59" s="275" t="e">
        <f t="shared" si="51"/>
        <v>#VALUE!</v>
      </c>
      <c r="AI59" s="275">
        <f t="shared" si="54"/>
        <v>1943.6018043075194</v>
      </c>
      <c r="AJ59" s="275"/>
      <c r="AK59" s="275" t="e">
        <f t="shared" si="55"/>
        <v>#VALUE!</v>
      </c>
      <c r="AL59" s="275" t="e">
        <f t="shared" si="56"/>
        <v>#VALUE!</v>
      </c>
      <c r="AO59" s="255">
        <v>11</v>
      </c>
      <c r="AP59" s="242">
        <f t="shared" si="57"/>
        <v>-20299505.091106806</v>
      </c>
      <c r="AQ59" s="243" t="e">
        <f t="shared" si="58"/>
        <v>#VALUE!</v>
      </c>
      <c r="AR59" s="266" t="e">
        <f t="shared" si="59"/>
        <v>#VALUE!</v>
      </c>
      <c r="AS59" s="254" t="e">
        <f t="shared" si="52"/>
        <v>#VALUE!</v>
      </c>
    </row>
    <row r="60" spans="18:45" x14ac:dyDescent="0.25">
      <c r="R60" s="260" t="s">
        <v>151</v>
      </c>
      <c r="S60" s="261">
        <v>0.3</v>
      </c>
      <c r="X60" s="282">
        <v>12</v>
      </c>
      <c r="Y60" s="283">
        <f t="shared" si="60"/>
        <v>194796.33618437598</v>
      </c>
      <c r="Z60" s="169">
        <f t="shared" si="61"/>
        <v>115121.04410498303</v>
      </c>
      <c r="AA60" s="254">
        <f t="shared" si="48"/>
        <v>79675.292079392952</v>
      </c>
      <c r="AB60" s="283">
        <v>0</v>
      </c>
      <c r="AC60" s="169">
        <f t="shared" si="62"/>
        <v>1943.6018043075194</v>
      </c>
      <c r="AD60" s="254">
        <f t="shared" si="49"/>
        <v>1943.6018043075194</v>
      </c>
      <c r="AE60" s="283">
        <f>'Análisis Finan CCGT Nuevo'!I46</f>
        <v>20376314.71409487</v>
      </c>
      <c r="AF60" s="169">
        <f t="shared" si="53"/>
        <v>-20298583.023819786</v>
      </c>
      <c r="AG60" s="254" t="e">
        <f t="shared" si="50"/>
        <v>#VALUE!</v>
      </c>
      <c r="AH60" s="275" t="e">
        <f t="shared" si="51"/>
        <v>#VALUE!</v>
      </c>
      <c r="AI60" s="275">
        <f t="shared" si="54"/>
        <v>1943.6018043075194</v>
      </c>
      <c r="AJ60" s="275"/>
      <c r="AK60" s="275" t="e">
        <f t="shared" si="55"/>
        <v>#VALUE!</v>
      </c>
      <c r="AL60" s="275" t="e">
        <f t="shared" si="56"/>
        <v>#VALUE!</v>
      </c>
      <c r="AO60" s="255">
        <v>12</v>
      </c>
      <c r="AP60" s="242">
        <f t="shared" si="57"/>
        <v>-20298583.023819786</v>
      </c>
      <c r="AQ60" s="243" t="e">
        <f t="shared" si="58"/>
        <v>#VALUE!</v>
      </c>
      <c r="AR60" s="266" t="e">
        <f t="shared" si="59"/>
        <v>#VALUE!</v>
      </c>
      <c r="AS60" s="254" t="e">
        <f t="shared" si="52"/>
        <v>#VALUE!</v>
      </c>
    </row>
    <row r="61" spans="18:45" x14ac:dyDescent="0.25">
      <c r="X61" s="282">
        <v>13</v>
      </c>
      <c r="Y61" s="283">
        <f t="shared" si="60"/>
        <v>197682.67951964075</v>
      </c>
      <c r="Z61" s="169">
        <f t="shared" si="61"/>
        <v>117063.51236740386</v>
      </c>
      <c r="AA61" s="254">
        <f t="shared" si="48"/>
        <v>80619.167152236885</v>
      </c>
      <c r="AB61" s="283">
        <v>0</v>
      </c>
      <c r="AC61" s="169">
        <f t="shared" si="62"/>
        <v>1943.6018043075194</v>
      </c>
      <c r="AD61" s="254">
        <f t="shared" si="49"/>
        <v>1943.6018043075194</v>
      </c>
      <c r="AE61" s="283">
        <f>'Análisis Finan CCGT Nuevo'!I47</f>
        <v>20376314.71409487</v>
      </c>
      <c r="AF61" s="169">
        <f t="shared" si="53"/>
        <v>-20297639.148746941</v>
      </c>
      <c r="AG61" s="254" t="e">
        <f t="shared" si="50"/>
        <v>#VALUE!</v>
      </c>
      <c r="AH61" s="275" t="e">
        <f t="shared" si="51"/>
        <v>#VALUE!</v>
      </c>
      <c r="AI61" s="275">
        <f t="shared" si="54"/>
        <v>1943.6018043075194</v>
      </c>
      <c r="AJ61" s="275"/>
      <c r="AK61" s="275" t="e">
        <f t="shared" si="55"/>
        <v>#VALUE!</v>
      </c>
      <c r="AL61" s="275" t="e">
        <f t="shared" si="56"/>
        <v>#VALUE!</v>
      </c>
      <c r="AO61" s="255">
        <v>13</v>
      </c>
      <c r="AP61" s="242">
        <f t="shared" si="57"/>
        <v>-20297639.148746941</v>
      </c>
      <c r="AQ61" s="243" t="e">
        <f t="shared" si="58"/>
        <v>#VALUE!</v>
      </c>
      <c r="AR61" s="266" t="e">
        <f t="shared" si="59"/>
        <v>#VALUE!</v>
      </c>
      <c r="AS61" s="254" t="e">
        <f t="shared" si="52"/>
        <v>#VALUE!</v>
      </c>
    </row>
    <row r="62" spans="18:45" x14ac:dyDescent="0.25">
      <c r="X62" s="282">
        <v>14</v>
      </c>
      <c r="Y62" s="283">
        <f t="shared" si="60"/>
        <v>200963.16371848382</v>
      </c>
      <c r="Z62" s="169">
        <f t="shared" si="61"/>
        <v>119408.99643889719</v>
      </c>
      <c r="AA62" s="254">
        <f t="shared" si="48"/>
        <v>81554.167279586633</v>
      </c>
      <c r="AB62" s="283">
        <v>0</v>
      </c>
      <c r="AC62" s="169">
        <f t="shared" si="62"/>
        <v>1943.6018043075194</v>
      </c>
      <c r="AD62" s="254">
        <f t="shared" si="49"/>
        <v>1943.6018043075194</v>
      </c>
      <c r="AE62" s="283">
        <f>'Análisis Finan CCGT Nuevo'!I48</f>
        <v>20376314.71409487</v>
      </c>
      <c r="AF62" s="169">
        <f t="shared" si="53"/>
        <v>-20296704.148619592</v>
      </c>
      <c r="AG62" s="254" t="e">
        <f t="shared" si="50"/>
        <v>#VALUE!</v>
      </c>
      <c r="AH62" s="275" t="e">
        <f t="shared" si="51"/>
        <v>#VALUE!</v>
      </c>
      <c r="AI62" s="275">
        <f t="shared" si="54"/>
        <v>1943.6018043075194</v>
      </c>
      <c r="AJ62" s="275"/>
      <c r="AK62" s="275" t="e">
        <f t="shared" si="55"/>
        <v>#VALUE!</v>
      </c>
      <c r="AL62" s="275" t="e">
        <f t="shared" si="56"/>
        <v>#VALUE!</v>
      </c>
      <c r="AO62" s="255">
        <v>14</v>
      </c>
      <c r="AP62" s="242">
        <f t="shared" si="57"/>
        <v>-20296704.148619592</v>
      </c>
      <c r="AQ62" s="243" t="e">
        <f t="shared" si="58"/>
        <v>#VALUE!</v>
      </c>
      <c r="AR62" s="266" t="e">
        <f t="shared" si="59"/>
        <v>#VALUE!</v>
      </c>
      <c r="AS62" s="254" t="e">
        <f t="shared" si="52"/>
        <v>#VALUE!</v>
      </c>
    </row>
    <row r="63" spans="18:45" x14ac:dyDescent="0.25">
      <c r="X63" s="282">
        <v>15</v>
      </c>
      <c r="Y63" s="283">
        <f t="shared" si="60"/>
        <v>201780.79644366429</v>
      </c>
      <c r="Z63" s="169">
        <f t="shared" si="61"/>
        <v>119154.32394660619</v>
      </c>
      <c r="AA63" s="254">
        <f t="shared" si="48"/>
        <v>82626.472497058101</v>
      </c>
      <c r="AB63" s="283">
        <v>0</v>
      </c>
      <c r="AC63" s="169">
        <f t="shared" si="62"/>
        <v>1943.6018043075194</v>
      </c>
      <c r="AD63" s="254">
        <f t="shared" si="49"/>
        <v>1943.6018043075194</v>
      </c>
      <c r="AE63" s="283">
        <f>'Análisis Finan CCGT Nuevo'!I49</f>
        <v>20376314.71409487</v>
      </c>
      <c r="AF63" s="169">
        <f t="shared" si="53"/>
        <v>-20295631.843402117</v>
      </c>
      <c r="AG63" s="254" t="e">
        <f t="shared" si="50"/>
        <v>#VALUE!</v>
      </c>
      <c r="AH63" s="275" t="e">
        <f t="shared" si="51"/>
        <v>#VALUE!</v>
      </c>
      <c r="AI63" s="275">
        <f t="shared" si="54"/>
        <v>1943.6018043075194</v>
      </c>
      <c r="AJ63" s="275"/>
      <c r="AK63" s="275" t="e">
        <f t="shared" si="55"/>
        <v>#VALUE!</v>
      </c>
      <c r="AL63" s="275" t="e">
        <f t="shared" si="56"/>
        <v>#VALUE!</v>
      </c>
      <c r="AO63" s="255">
        <v>15</v>
      </c>
      <c r="AP63" s="242">
        <f t="shared" si="57"/>
        <v>-20295631.843402117</v>
      </c>
      <c r="AQ63" s="243" t="e">
        <f t="shared" si="58"/>
        <v>#VALUE!</v>
      </c>
      <c r="AR63" s="266" t="e">
        <f t="shared" si="59"/>
        <v>#VALUE!</v>
      </c>
      <c r="AS63" s="254" t="e">
        <f t="shared" si="52"/>
        <v>#VALUE!</v>
      </c>
    </row>
    <row r="64" spans="18:45" x14ac:dyDescent="0.25">
      <c r="X64" s="282">
        <v>16</v>
      </c>
      <c r="Y64" s="283">
        <f t="shared" si="60"/>
        <v>204192.08610956886</v>
      </c>
      <c r="Z64" s="169">
        <f t="shared" si="61"/>
        <v>120560.24050131009</v>
      </c>
      <c r="AA64" s="254">
        <f t="shared" si="48"/>
        <v>83631.845608258765</v>
      </c>
      <c r="AB64" s="283">
        <v>0</v>
      </c>
      <c r="AC64" s="169">
        <f t="shared" si="62"/>
        <v>1943.6018043075194</v>
      </c>
      <c r="AD64" s="254">
        <f t="shared" si="49"/>
        <v>1943.6018043075194</v>
      </c>
      <c r="AE64" s="283">
        <f>'Análisis Finan CCGT Nuevo'!I50</f>
        <v>20376314.71409487</v>
      </c>
      <c r="AF64" s="169">
        <f t="shared" si="53"/>
        <v>-20294626.470290918</v>
      </c>
      <c r="AG64" s="254" t="e">
        <f t="shared" si="50"/>
        <v>#VALUE!</v>
      </c>
      <c r="AH64" s="275" t="e">
        <f t="shared" si="51"/>
        <v>#VALUE!</v>
      </c>
      <c r="AI64" s="275">
        <f t="shared" si="54"/>
        <v>1943.6018043075194</v>
      </c>
      <c r="AJ64" s="275"/>
      <c r="AK64" s="275" t="e">
        <f t="shared" si="55"/>
        <v>#VALUE!</v>
      </c>
      <c r="AL64" s="275" t="e">
        <f t="shared" si="56"/>
        <v>#VALUE!</v>
      </c>
      <c r="AO64" s="255">
        <v>16</v>
      </c>
      <c r="AP64" s="242">
        <f t="shared" si="57"/>
        <v>-20294626.470290918</v>
      </c>
      <c r="AQ64" s="243" t="e">
        <f t="shared" si="58"/>
        <v>#VALUE!</v>
      </c>
      <c r="AR64" s="266" t="e">
        <f t="shared" si="59"/>
        <v>#VALUE!</v>
      </c>
      <c r="AS64" s="254" t="e">
        <f t="shared" si="52"/>
        <v>#VALUE!</v>
      </c>
    </row>
    <row r="65" spans="24:45" x14ac:dyDescent="0.25">
      <c r="X65" s="285">
        <v>17</v>
      </c>
      <c r="Y65" s="286">
        <f t="shared" si="60"/>
        <v>205507.49037366104</v>
      </c>
      <c r="Z65" s="250">
        <f t="shared" si="61"/>
        <v>120796.85828997998</v>
      </c>
      <c r="AA65" s="264">
        <f t="shared" si="48"/>
        <v>84710.632083681063</v>
      </c>
      <c r="AB65" s="286">
        <v>0</v>
      </c>
      <c r="AC65" s="250">
        <f t="shared" si="62"/>
        <v>1943.6018043075194</v>
      </c>
      <c r="AD65" s="264">
        <f t="shared" si="49"/>
        <v>1943.6018043075194</v>
      </c>
      <c r="AE65" s="286">
        <f>'Análisis Finan CCGT Nuevo'!I51</f>
        <v>20376314.71409487</v>
      </c>
      <c r="AF65" s="250">
        <f t="shared" si="53"/>
        <v>-20293547.683815498</v>
      </c>
      <c r="AG65" s="264" t="e">
        <f t="shared" si="50"/>
        <v>#VALUE!</v>
      </c>
      <c r="AH65" s="276" t="e">
        <f t="shared" si="51"/>
        <v>#VALUE!</v>
      </c>
      <c r="AI65" s="276">
        <f t="shared" si="54"/>
        <v>1943.6018043075194</v>
      </c>
      <c r="AJ65" s="276"/>
      <c r="AK65" s="276" t="e">
        <f t="shared" si="55"/>
        <v>#VALUE!</v>
      </c>
      <c r="AL65" s="276" t="e">
        <f t="shared" si="56"/>
        <v>#VALUE!</v>
      </c>
      <c r="AO65" s="258">
        <v>17</v>
      </c>
      <c r="AP65" s="256">
        <f t="shared" si="57"/>
        <v>-20293547.683815498</v>
      </c>
      <c r="AQ65" s="257" t="e">
        <f t="shared" si="58"/>
        <v>#VALUE!</v>
      </c>
      <c r="AR65" s="267" t="e">
        <f t="shared" si="59"/>
        <v>#VALUE!</v>
      </c>
      <c r="AS65" s="264" t="e">
        <f t="shared" si="52"/>
        <v>#VALUE!</v>
      </c>
    </row>
  </sheetData>
  <mergeCells count="54">
    <mergeCell ref="C2:D2"/>
    <mergeCell ref="X2:X3"/>
    <mergeCell ref="Y2:Y3"/>
    <mergeCell ref="Z2:Z3"/>
    <mergeCell ref="AA2:AA3"/>
    <mergeCell ref="AJ2:AJ3"/>
    <mergeCell ref="AK2:AK3"/>
    <mergeCell ref="AO2:AS2"/>
    <mergeCell ref="J3:J4"/>
    <mergeCell ref="K3:K4"/>
    <mergeCell ref="L3:L4"/>
    <mergeCell ref="M3:M4"/>
    <mergeCell ref="N3:N4"/>
    <mergeCell ref="O3:V3"/>
    <mergeCell ref="AD2:AD3"/>
    <mergeCell ref="AE2:AE3"/>
    <mergeCell ref="AF2:AF3"/>
    <mergeCell ref="AG2:AG3"/>
    <mergeCell ref="AH2:AH3"/>
    <mergeCell ref="AI2:AI3"/>
    <mergeCell ref="AB2:AC2"/>
    <mergeCell ref="J24:K24"/>
    <mergeCell ref="X24:X25"/>
    <mergeCell ref="AB24:AB25"/>
    <mergeCell ref="B14:D14"/>
    <mergeCell ref="B15:D15"/>
    <mergeCell ref="B16:D16"/>
    <mergeCell ref="B17:D17"/>
    <mergeCell ref="B18:D18"/>
    <mergeCell ref="E24:G24"/>
    <mergeCell ref="Z46:Z47"/>
    <mergeCell ref="AC24:AC25"/>
    <mergeCell ref="AD24:AD25"/>
    <mergeCell ref="S25:T25"/>
    <mergeCell ref="AN24:AN25"/>
    <mergeCell ref="Z24:Z25"/>
    <mergeCell ref="Y24:Y25"/>
    <mergeCell ref="J30:K30"/>
    <mergeCell ref="L30:M30"/>
    <mergeCell ref="N30:O30"/>
    <mergeCell ref="X46:X47"/>
    <mergeCell ref="Y46:Y47"/>
    <mergeCell ref="AO46:AS46"/>
    <mergeCell ref="AA46:AA47"/>
    <mergeCell ref="AB46:AC46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L46:AL47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65"/>
  <sheetViews>
    <sheetView topLeftCell="L40" zoomScale="85" zoomScaleNormal="85" workbookViewId="0">
      <selection activeCell="W56" sqref="W56"/>
    </sheetView>
  </sheetViews>
  <sheetFormatPr baseColWidth="10" defaultRowHeight="15" x14ac:dyDescent="0.25"/>
  <cols>
    <col min="2" max="2" width="37.28515625" bestFit="1" customWidth="1"/>
    <col min="4" max="4" width="15.140625" customWidth="1"/>
    <col min="5" max="5" width="13.5703125" bestFit="1" customWidth="1"/>
    <col min="6" max="6" width="20.140625" bestFit="1" customWidth="1"/>
    <col min="7" max="7" width="15.28515625" bestFit="1" customWidth="1"/>
    <col min="8" max="8" width="15.42578125" customWidth="1"/>
    <col min="10" max="10" width="8.140625" customWidth="1"/>
    <col min="11" max="11" width="9.28515625" customWidth="1"/>
    <col min="12" max="12" width="12.28515625" customWidth="1"/>
    <col min="13" max="13" width="11.42578125" customWidth="1"/>
    <col min="14" max="14" width="12.5703125" customWidth="1"/>
    <col min="15" max="15" width="13.5703125" customWidth="1"/>
    <col min="16" max="16" width="12.7109375" customWidth="1"/>
    <col min="17" max="17" width="10.42578125" customWidth="1"/>
    <col min="18" max="18" width="12.5703125" customWidth="1"/>
    <col min="19" max="19" width="11.7109375" customWidth="1"/>
    <col min="20" max="20" width="13.140625" customWidth="1"/>
    <col min="21" max="21" width="25.28515625" customWidth="1"/>
    <col min="22" max="22" width="15.7109375" customWidth="1"/>
    <col min="23" max="23" width="18.140625" customWidth="1"/>
    <col min="26" max="26" width="18.7109375" customWidth="1"/>
    <col min="27" max="27" width="17" customWidth="1"/>
    <col min="28" max="28" width="20.85546875" customWidth="1"/>
    <col min="29" max="29" width="19.28515625" customWidth="1"/>
    <col min="30" max="30" width="19.5703125" customWidth="1"/>
    <col min="31" max="31" width="20.85546875" customWidth="1"/>
    <col min="32" max="32" width="16" customWidth="1"/>
    <col min="33" max="33" width="15.140625" customWidth="1"/>
    <col min="34" max="34" width="14.140625" customWidth="1"/>
    <col min="35" max="35" width="16.85546875" customWidth="1"/>
    <col min="36" max="36" width="14.85546875" customWidth="1"/>
    <col min="37" max="37" width="15.42578125" customWidth="1"/>
    <col min="38" max="38" width="17.5703125" customWidth="1"/>
    <col min="39" max="39" width="18.85546875" customWidth="1"/>
    <col min="40" max="40" width="20" customWidth="1"/>
    <col min="41" max="41" width="17.42578125" customWidth="1"/>
    <col min="42" max="42" width="15" bestFit="1" customWidth="1"/>
    <col min="43" max="43" width="14" customWidth="1"/>
    <col min="44" max="44" width="15.85546875" customWidth="1"/>
    <col min="46" max="46" width="13.28515625" customWidth="1"/>
  </cols>
  <sheetData>
    <row r="1" spans="1:4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46" ht="21" thickBot="1" x14ac:dyDescent="0.35">
      <c r="A2" s="1"/>
      <c r="B2" s="2"/>
      <c r="C2" s="743"/>
      <c r="D2" s="743"/>
      <c r="E2" s="3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Y2" s="766" t="s">
        <v>7</v>
      </c>
      <c r="Z2" s="768" t="s">
        <v>133</v>
      </c>
      <c r="AA2" s="770" t="s">
        <v>134</v>
      </c>
      <c r="AB2" s="772" t="s">
        <v>135</v>
      </c>
      <c r="AC2" s="776" t="s">
        <v>136</v>
      </c>
      <c r="AD2" s="777"/>
      <c r="AE2" s="772" t="s">
        <v>139</v>
      </c>
      <c r="AF2" s="778" t="s">
        <v>147</v>
      </c>
      <c r="AG2" s="778" t="s">
        <v>152</v>
      </c>
      <c r="AH2" s="780" t="s">
        <v>153</v>
      </c>
      <c r="AI2" s="778" t="s">
        <v>139</v>
      </c>
      <c r="AJ2" s="778" t="s">
        <v>154</v>
      </c>
      <c r="AK2" s="778" t="s">
        <v>155</v>
      </c>
      <c r="AL2" s="778" t="s">
        <v>156</v>
      </c>
    </row>
    <row r="3" spans="1:46" ht="45.75" customHeight="1" thickBot="1" x14ac:dyDescent="0.3">
      <c r="A3" s="1"/>
      <c r="B3" s="52" t="s">
        <v>0</v>
      </c>
      <c r="C3" s="5"/>
      <c r="D3" s="6"/>
      <c r="E3" s="53" t="s">
        <v>26</v>
      </c>
      <c r="F3" s="46"/>
      <c r="G3" s="46"/>
      <c r="H3" s="1"/>
      <c r="I3" s="1"/>
      <c r="J3" s="845" t="s">
        <v>7</v>
      </c>
      <c r="K3" s="847" t="s">
        <v>8</v>
      </c>
      <c r="L3" s="849" t="s">
        <v>21</v>
      </c>
      <c r="M3" s="851" t="s">
        <v>19</v>
      </c>
      <c r="N3" s="853" t="s">
        <v>9</v>
      </c>
      <c r="O3" s="855" t="s">
        <v>274</v>
      </c>
      <c r="P3" s="856"/>
      <c r="Q3" s="856"/>
      <c r="R3" s="856"/>
      <c r="S3" s="856"/>
      <c r="T3" s="856"/>
      <c r="U3" s="856"/>
      <c r="V3" s="856"/>
      <c r="W3" s="857"/>
      <c r="Y3" s="767"/>
      <c r="Z3" s="769"/>
      <c r="AA3" s="771"/>
      <c r="AB3" s="773"/>
      <c r="AC3" s="245" t="s">
        <v>137</v>
      </c>
      <c r="AD3" s="246" t="s">
        <v>138</v>
      </c>
      <c r="AE3" s="773"/>
      <c r="AF3" s="779"/>
      <c r="AG3" s="779"/>
      <c r="AH3" s="781"/>
      <c r="AI3" s="779"/>
      <c r="AJ3" s="779"/>
      <c r="AK3" s="779"/>
      <c r="AL3" s="779"/>
      <c r="AP3" s="290" t="s">
        <v>22</v>
      </c>
      <c r="AQ3" s="296" t="s">
        <v>148</v>
      </c>
      <c r="AR3" s="296" t="s">
        <v>149</v>
      </c>
      <c r="AS3" s="297"/>
      <c r="AT3" s="290" t="s">
        <v>150</v>
      </c>
    </row>
    <row r="4" spans="1:46" ht="16.5" thickBot="1" x14ac:dyDescent="0.3">
      <c r="A4" s="1"/>
      <c r="B4" s="7" t="s">
        <v>1</v>
      </c>
      <c r="C4" s="8"/>
      <c r="D4" s="9"/>
      <c r="E4" s="13">
        <v>172.297</v>
      </c>
      <c r="F4" s="47"/>
      <c r="G4" s="47"/>
      <c r="H4" s="1"/>
      <c r="I4" s="1"/>
      <c r="J4" s="846"/>
      <c r="K4" s="848"/>
      <c r="L4" s="850"/>
      <c r="M4" s="852"/>
      <c r="N4" s="854"/>
      <c r="O4" s="559" t="s">
        <v>272</v>
      </c>
      <c r="P4" s="559" t="s">
        <v>273</v>
      </c>
      <c r="Q4" s="589"/>
      <c r="R4" s="590"/>
      <c r="S4" s="562"/>
      <c r="T4" s="559"/>
      <c r="U4" s="559" t="s">
        <v>23</v>
      </c>
      <c r="V4" s="559" t="s">
        <v>271</v>
      </c>
      <c r="W4" s="563" t="s">
        <v>55</v>
      </c>
      <c r="Y4" s="277">
        <v>0</v>
      </c>
      <c r="Z4" s="247"/>
      <c r="AA4" s="225"/>
      <c r="AB4" s="254">
        <f>Z4-AA4</f>
        <v>0</v>
      </c>
      <c r="AC4" s="242"/>
      <c r="AD4" s="243"/>
      <c r="AE4" s="244">
        <f>AC4+AD4</f>
        <v>0</v>
      </c>
      <c r="AF4" s="252"/>
      <c r="AG4" s="252">
        <f t="shared" ref="AG4:AG21" si="0">AT4</f>
        <v>0</v>
      </c>
      <c r="AH4" s="252">
        <f>AF4-AG4</f>
        <v>0</v>
      </c>
      <c r="AI4" s="252"/>
      <c r="AJ4" s="252">
        <f>-V5/1000</f>
        <v>201563.67225344517</v>
      </c>
      <c r="AK4" s="252">
        <f>AH4+AI4-AJ4</f>
        <v>-201563.67225344517</v>
      </c>
      <c r="AL4" s="252">
        <f>AK4</f>
        <v>-201563.67225344517</v>
      </c>
      <c r="AP4" s="255">
        <v>0</v>
      </c>
      <c r="AQ4" s="161"/>
      <c r="AR4" s="161"/>
      <c r="AS4" s="266">
        <f>IF(AR4&gt;0,1,0)</f>
        <v>0</v>
      </c>
      <c r="AT4" s="275">
        <f t="shared" ref="AT4:AT21" si="1">MIN(AQ4:AR4)*AS4*$T$65</f>
        <v>0</v>
      </c>
    </row>
    <row r="5" spans="1:46" ht="16.5" thickBot="1" x14ac:dyDescent="0.3">
      <c r="A5" s="1"/>
      <c r="B5" s="7" t="s">
        <v>2</v>
      </c>
      <c r="C5" s="8"/>
      <c r="D5" s="9"/>
      <c r="E5" s="12">
        <v>166.833</v>
      </c>
      <c r="F5" s="47"/>
      <c r="G5" s="47"/>
      <c r="H5" s="1"/>
      <c r="I5" s="1"/>
      <c r="J5" s="564">
        <v>2018</v>
      </c>
      <c r="K5" s="565"/>
      <c r="L5" s="565"/>
      <c r="M5" s="566"/>
      <c r="N5" s="565"/>
      <c r="O5" s="564"/>
      <c r="P5" s="564"/>
      <c r="Q5" s="564"/>
      <c r="R5" s="564"/>
      <c r="S5" s="564"/>
      <c r="T5" s="564"/>
      <c r="U5" s="591">
        <f>-E4*C29*1000</f>
        <v>-201563672.25344518</v>
      </c>
      <c r="V5" s="584">
        <f>U5</f>
        <v>-201563672.25344518</v>
      </c>
      <c r="W5" s="585">
        <f>V5</f>
        <v>-201563672.25344518</v>
      </c>
      <c r="Y5" s="277">
        <v>1</v>
      </c>
      <c r="Z5" s="248">
        <f>(O6+P6)/1000</f>
        <v>164626.79889599411</v>
      </c>
      <c r="AA5" s="169">
        <f>(R6+S6+T6)/1000</f>
        <v>91783.601496815842</v>
      </c>
      <c r="AB5" s="244">
        <f>Z5-AA5</f>
        <v>72843.197399178272</v>
      </c>
      <c r="AC5" s="242">
        <f>V62+V63</f>
        <v>42907332.494678259</v>
      </c>
      <c r="AD5" s="243">
        <f>V64</f>
        <v>2083501.0816414305</v>
      </c>
      <c r="AE5" s="244">
        <f>AC5+AD5</f>
        <v>44990833.576319687</v>
      </c>
      <c r="AF5" s="252">
        <f>AB5-AE5</f>
        <v>-44917990.37892051</v>
      </c>
      <c r="AG5" s="252">
        <f t="shared" si="0"/>
        <v>0</v>
      </c>
      <c r="AH5" s="252">
        <f>AF5-AG5</f>
        <v>-44917990.37892051</v>
      </c>
      <c r="AI5" s="252">
        <f>AE5</f>
        <v>44990833.576319687</v>
      </c>
      <c r="AJ5" s="255"/>
      <c r="AK5" s="252">
        <f t="shared" ref="AK5:AK21" si="2">AH5+AI5+AJ5</f>
        <v>72843.197399176657</v>
      </c>
      <c r="AL5" s="252">
        <f>AL4+AK5</f>
        <v>-128720.47485426851</v>
      </c>
      <c r="AP5" s="255">
        <v>1</v>
      </c>
      <c r="AQ5" s="243">
        <f t="shared" ref="AQ5:AQ21" si="3">AF5</f>
        <v>-44917990.37892051</v>
      </c>
      <c r="AR5" s="243">
        <f>AQ5+AR4</f>
        <v>-44917990.37892051</v>
      </c>
      <c r="AS5" s="266">
        <f t="shared" ref="AS5:AS21" si="4">IF(AR5&gt;0,1,0)</f>
        <v>0</v>
      </c>
      <c r="AT5" s="275">
        <f t="shared" si="1"/>
        <v>0</v>
      </c>
    </row>
    <row r="6" spans="1:46" ht="16.5" thickBot="1" x14ac:dyDescent="0.3">
      <c r="A6" s="1"/>
      <c r="B6" s="7" t="s">
        <v>4</v>
      </c>
      <c r="C6" s="8"/>
      <c r="D6" s="9"/>
      <c r="E6" s="106">
        <f>C23</f>
        <v>0.8620379344968282</v>
      </c>
      <c r="F6" s="47"/>
      <c r="G6" s="47"/>
      <c r="H6" s="1"/>
      <c r="I6" s="1"/>
      <c r="J6" s="568">
        <v>2019</v>
      </c>
      <c r="K6" s="569">
        <f>E6</f>
        <v>0.8620379344968282</v>
      </c>
      <c r="L6" s="570">
        <f t="shared" ref="L6:L22" si="5">$E$4*K6*$E$11</f>
        <v>1301092.5780000002</v>
      </c>
      <c r="M6" s="571">
        <f t="shared" ref="M6:M22" si="6">$E$5*$E$11*K6</f>
        <v>1259831.442598966</v>
      </c>
      <c r="N6" s="572">
        <f>E9</f>
        <v>6807</v>
      </c>
      <c r="O6" s="573">
        <f t="shared" ref="O6:O22" si="7">M6*B34</f>
        <v>151165586.22164902</v>
      </c>
      <c r="P6" s="573">
        <f t="shared" ref="P6:P22" si="8">$E$5*K6*1000*$C$30*12</f>
        <v>13461212.674345113</v>
      </c>
      <c r="Q6" s="573">
        <f>L6*$E$19*$C$31</f>
        <v>104087.40624000003</v>
      </c>
      <c r="R6" s="573">
        <f t="shared" ref="R6:R22" si="9">$E$4*$C$27+L6*$C$28</f>
        <v>11180622.308406606</v>
      </c>
      <c r="S6" s="573">
        <f>($E$16*$E$15*K6*$E$11/1000)+($E$17*$E$18*K6*$E$11/1000)</f>
        <v>7907678.7082543261</v>
      </c>
      <c r="T6" s="573">
        <f t="shared" ref="T6:T22" si="10">N6*L6*1000*G28</f>
        <v>72695300.480154917</v>
      </c>
      <c r="U6" s="592" t="s">
        <v>47</v>
      </c>
      <c r="V6" s="586">
        <f>O6+P6+Q6-R6-S6-T6</f>
        <v>72947284.805418268</v>
      </c>
      <c r="W6" s="587">
        <f>W5+V6</f>
        <v>-128616387.44802691</v>
      </c>
      <c r="Y6" s="277">
        <v>2</v>
      </c>
      <c r="Z6" s="248">
        <f t="shared" ref="Z6:Z21" si="11">(O7+P7)/1000</f>
        <v>169646.91911549796</v>
      </c>
      <c r="AA6" s="169">
        <f t="shared" ref="AA6:AA21" si="12">(R7+S7+T7)/1000</f>
        <v>95973.998690881912</v>
      </c>
      <c r="AB6" s="244">
        <f t="shared" ref="AB6:AB21" si="13">Z6-AA6</f>
        <v>73672.920424616052</v>
      </c>
      <c r="AC6" s="242">
        <f>V62</f>
        <v>29246579.531484582</v>
      </c>
      <c r="AD6" s="243">
        <f>AD5</f>
        <v>2083501.0816414305</v>
      </c>
      <c r="AE6" s="244">
        <f t="shared" ref="AE6:AE21" si="14">AC6+AD6</f>
        <v>31330080.613126013</v>
      </c>
      <c r="AF6" s="252">
        <f t="shared" ref="AF6:AF21" si="15">AB6-AE6</f>
        <v>-31256407.692701396</v>
      </c>
      <c r="AG6" s="252">
        <f t="shared" si="0"/>
        <v>0</v>
      </c>
      <c r="AH6" s="252">
        <f t="shared" ref="AH6:AH21" si="16">AF6-AG6</f>
        <v>-31256407.692701396</v>
      </c>
      <c r="AI6" s="252">
        <f t="shared" ref="AI6:AI21" si="17">AE6</f>
        <v>31330080.613126013</v>
      </c>
      <c r="AJ6" s="255"/>
      <c r="AK6" s="252">
        <f t="shared" si="2"/>
        <v>73672.920424617827</v>
      </c>
      <c r="AL6" s="252">
        <f t="shared" ref="AL6:AL21" si="18">AL5+AK6</f>
        <v>-55047.554429650685</v>
      </c>
      <c r="AP6" s="255">
        <v>2</v>
      </c>
      <c r="AQ6" s="243">
        <f t="shared" si="3"/>
        <v>-31256407.692701396</v>
      </c>
      <c r="AR6" s="243">
        <f t="shared" ref="AR6:AR21" si="19">AQ6+AR5</f>
        <v>-76174398.07162191</v>
      </c>
      <c r="AS6" s="266">
        <f t="shared" si="4"/>
        <v>0</v>
      </c>
      <c r="AT6" s="275">
        <f t="shared" si="1"/>
        <v>0</v>
      </c>
    </row>
    <row r="7" spans="1:46" ht="16.5" thickBot="1" x14ac:dyDescent="0.3">
      <c r="A7" s="1"/>
      <c r="B7" s="7" t="s">
        <v>5</v>
      </c>
      <c r="C7" s="8"/>
      <c r="D7" s="9"/>
      <c r="E7" s="49">
        <v>0.54620000000000002</v>
      </c>
      <c r="F7" s="47"/>
      <c r="G7" s="47"/>
      <c r="H7" s="1"/>
      <c r="I7" s="1"/>
      <c r="J7" s="568">
        <v>2020</v>
      </c>
      <c r="K7" s="575">
        <f t="shared" ref="K7:K22" si="20">K6*(1-$E$13)</f>
        <v>0.857727744824344</v>
      </c>
      <c r="L7" s="576">
        <f t="shared" si="5"/>
        <v>1294587.1151100001</v>
      </c>
      <c r="M7" s="571">
        <f t="shared" si="6"/>
        <v>1253532.285385971</v>
      </c>
      <c r="N7" s="572">
        <f t="shared" ref="N7:N22" si="21">N6*(1+$E$12)</f>
        <v>6817.2105000000001</v>
      </c>
      <c r="O7" s="573">
        <f t="shared" si="7"/>
        <v>156253012.50452459</v>
      </c>
      <c r="P7" s="573">
        <f t="shared" si="8"/>
        <v>13393906.610973388</v>
      </c>
      <c r="Q7" s="573">
        <f t="shared" ref="Q7:Q22" si="22">L7*$E$19*$C$31</f>
        <v>103566.96920880002</v>
      </c>
      <c r="R7" s="573">
        <f t="shared" si="9"/>
        <v>11148472.721869677</v>
      </c>
      <c r="S7" s="573">
        <f t="shared" ref="S7:S22" si="23">($E$16*$E$15*K7*$E$11/1000)+($E$17*$E$18*K7*$E$11/1000)</f>
        <v>7868140.3147130534</v>
      </c>
      <c r="T7" s="573">
        <f t="shared" si="10"/>
        <v>76957385.654299185</v>
      </c>
      <c r="U7" s="592" t="s">
        <v>47</v>
      </c>
      <c r="V7" s="586">
        <f t="shared" ref="V7:V22" si="24">O7+P7+Q7-R7-S7-T7</f>
        <v>73776487.39382486</v>
      </c>
      <c r="W7" s="587">
        <f t="shared" ref="W7:W22" si="25">W6+V7</f>
        <v>-54839900.05420205</v>
      </c>
      <c r="Y7" s="277">
        <v>3</v>
      </c>
      <c r="Z7" s="248">
        <f t="shared" si="11"/>
        <v>173593.79015277987</v>
      </c>
      <c r="AA7" s="169">
        <f t="shared" si="12"/>
        <v>99050.33434072684</v>
      </c>
      <c r="AB7" s="244">
        <f t="shared" si="13"/>
        <v>74543.455812053027</v>
      </c>
      <c r="AC7" s="242">
        <f t="shared" ref="AC7:AD21" si="26">AC6</f>
        <v>29246579.531484582</v>
      </c>
      <c r="AD7" s="243">
        <f t="shared" si="26"/>
        <v>2083501.0816414305</v>
      </c>
      <c r="AE7" s="244">
        <f t="shared" si="14"/>
        <v>31330080.613126013</v>
      </c>
      <c r="AF7" s="252">
        <f t="shared" si="15"/>
        <v>-31255537.157313962</v>
      </c>
      <c r="AG7" s="252">
        <f t="shared" si="0"/>
        <v>0</v>
      </c>
      <c r="AH7" s="252">
        <f t="shared" si="16"/>
        <v>-31255537.157313962</v>
      </c>
      <c r="AI7" s="252">
        <f t="shared" si="17"/>
        <v>31330080.613126013</v>
      </c>
      <c r="AJ7" s="255"/>
      <c r="AK7" s="252">
        <f t="shared" si="2"/>
        <v>74543.455812051892</v>
      </c>
      <c r="AL7" s="252">
        <f t="shared" si="18"/>
        <v>19495.901382401207</v>
      </c>
      <c r="AP7" s="255">
        <v>3</v>
      </c>
      <c r="AQ7" s="243">
        <f t="shared" si="3"/>
        <v>-31255537.157313962</v>
      </c>
      <c r="AR7" s="243">
        <f t="shared" si="19"/>
        <v>-107429935.22893587</v>
      </c>
      <c r="AS7" s="266">
        <f t="shared" si="4"/>
        <v>0</v>
      </c>
      <c r="AT7" s="275">
        <f t="shared" si="1"/>
        <v>0</v>
      </c>
    </row>
    <row r="8" spans="1:46" ht="16.5" thickBot="1" x14ac:dyDescent="0.3">
      <c r="A8" s="1"/>
      <c r="B8" s="7" t="s">
        <v>6</v>
      </c>
      <c r="C8" s="8"/>
      <c r="D8" s="9"/>
      <c r="E8" s="50">
        <f>(E4-E5)/E4</f>
        <v>3.1712682170902562E-2</v>
      </c>
      <c r="F8" s="47"/>
      <c r="G8" s="47"/>
      <c r="H8" s="1"/>
      <c r="I8" s="1"/>
      <c r="J8" s="568">
        <v>2021</v>
      </c>
      <c r="K8" s="575">
        <f t="shared" si="20"/>
        <v>0.85343910610022222</v>
      </c>
      <c r="L8" s="576">
        <f t="shared" si="5"/>
        <v>1288114.1795344499</v>
      </c>
      <c r="M8" s="571">
        <f t="shared" si="6"/>
        <v>1247264.623959041</v>
      </c>
      <c r="N8" s="572">
        <f t="shared" si="21"/>
        <v>6827.4363157500002</v>
      </c>
      <c r="O8" s="573">
        <f t="shared" si="7"/>
        <v>160266853.07486135</v>
      </c>
      <c r="P8" s="573">
        <f t="shared" si="8"/>
        <v>13326937.077918518</v>
      </c>
      <c r="Q8" s="573">
        <f t="shared" si="22"/>
        <v>103049.134362756</v>
      </c>
      <c r="R8" s="573">
        <f t="shared" si="9"/>
        <v>11116483.88326543</v>
      </c>
      <c r="S8" s="573">
        <f t="shared" si="23"/>
        <v>7828799.6131394878</v>
      </c>
      <c r="T8" s="573">
        <f t="shared" si="10"/>
        <v>80105050.844321921</v>
      </c>
      <c r="U8" s="592" t="s">
        <v>47</v>
      </c>
      <c r="V8" s="586">
        <f t="shared" si="24"/>
        <v>74646504.946415797</v>
      </c>
      <c r="W8" s="586">
        <f t="shared" si="25"/>
        <v>19806604.892213747</v>
      </c>
      <c r="Y8" s="278">
        <v>4</v>
      </c>
      <c r="Z8" s="248">
        <f t="shared" si="11"/>
        <v>176803.89153985167</v>
      </c>
      <c r="AA8" s="169">
        <f t="shared" si="12"/>
        <v>101356.42694298737</v>
      </c>
      <c r="AB8" s="244">
        <f t="shared" si="13"/>
        <v>75447.464596864302</v>
      </c>
      <c r="AC8" s="242">
        <f t="shared" si="26"/>
        <v>29246579.531484582</v>
      </c>
      <c r="AD8" s="243">
        <f t="shared" si="26"/>
        <v>2083501.0816414305</v>
      </c>
      <c r="AE8" s="244">
        <f t="shared" si="14"/>
        <v>31330080.613126013</v>
      </c>
      <c r="AF8" s="252">
        <f t="shared" si="15"/>
        <v>-31254633.14852915</v>
      </c>
      <c r="AG8" s="252">
        <f t="shared" si="0"/>
        <v>0</v>
      </c>
      <c r="AH8" s="252">
        <f t="shared" si="16"/>
        <v>-31254633.14852915</v>
      </c>
      <c r="AI8" s="252">
        <f t="shared" si="17"/>
        <v>31330080.613126013</v>
      </c>
      <c r="AJ8" s="255"/>
      <c r="AK8" s="252">
        <f t="shared" si="2"/>
        <v>75447.464596863836</v>
      </c>
      <c r="AL8" s="252">
        <f t="shared" si="18"/>
        <v>94943.365979265043</v>
      </c>
      <c r="AP8" s="255">
        <v>4</v>
      </c>
      <c r="AQ8" s="243">
        <f t="shared" si="3"/>
        <v>-31254633.14852915</v>
      </c>
      <c r="AR8" s="243">
        <f t="shared" si="19"/>
        <v>-138684568.37746501</v>
      </c>
      <c r="AS8" s="266">
        <f t="shared" si="4"/>
        <v>0</v>
      </c>
      <c r="AT8" s="275">
        <f t="shared" si="1"/>
        <v>0</v>
      </c>
    </row>
    <row r="9" spans="1:46" ht="16.5" thickBot="1" x14ac:dyDescent="0.3">
      <c r="A9" s="1"/>
      <c r="B9" s="7" t="s">
        <v>70</v>
      </c>
      <c r="C9" s="8"/>
      <c r="D9" s="9"/>
      <c r="E9" s="97">
        <v>6807</v>
      </c>
      <c r="F9" s="47"/>
      <c r="G9" s="47"/>
      <c r="H9" s="1"/>
      <c r="I9" s="1"/>
      <c r="J9" s="568">
        <v>2022</v>
      </c>
      <c r="K9" s="575">
        <f t="shared" si="20"/>
        <v>0.84917191056972108</v>
      </c>
      <c r="L9" s="576">
        <f t="shared" si="5"/>
        <v>1281673.6086367774</v>
      </c>
      <c r="M9" s="571">
        <f t="shared" si="6"/>
        <v>1241028.3008392458</v>
      </c>
      <c r="N9" s="572">
        <f t="shared" si="21"/>
        <v>6837.6774702236253</v>
      </c>
      <c r="O9" s="573">
        <f t="shared" si="7"/>
        <v>163543589.14732274</v>
      </c>
      <c r="P9" s="573">
        <f t="shared" si="8"/>
        <v>13260302.392528927</v>
      </c>
      <c r="Q9" s="573">
        <f t="shared" si="22"/>
        <v>102533.8886909422</v>
      </c>
      <c r="R9" s="573">
        <f t="shared" si="9"/>
        <v>11084654.988854205</v>
      </c>
      <c r="S9" s="573">
        <f t="shared" si="23"/>
        <v>7789655.6150737908</v>
      </c>
      <c r="T9" s="573">
        <f t="shared" si="10"/>
        <v>82482116.339059368</v>
      </c>
      <c r="U9" s="592" t="s">
        <v>47</v>
      </c>
      <c r="V9" s="586">
        <f t="shared" si="24"/>
        <v>75549998.485555246</v>
      </c>
      <c r="W9" s="586">
        <f t="shared" si="25"/>
        <v>95356603.377768993</v>
      </c>
      <c r="Y9" s="278">
        <v>5</v>
      </c>
      <c r="Z9" s="248">
        <f t="shared" si="11"/>
        <v>178969.79535243852</v>
      </c>
      <c r="AA9" s="169">
        <f t="shared" si="12"/>
        <v>102569.17499262256</v>
      </c>
      <c r="AB9" s="244">
        <f t="shared" si="13"/>
        <v>76400.620359815963</v>
      </c>
      <c r="AC9" s="242">
        <f t="shared" si="26"/>
        <v>29246579.531484582</v>
      </c>
      <c r="AD9" s="243">
        <f t="shared" si="26"/>
        <v>2083501.0816414305</v>
      </c>
      <c r="AE9" s="244">
        <f t="shared" si="14"/>
        <v>31330080.613126013</v>
      </c>
      <c r="AF9" s="252">
        <f t="shared" si="15"/>
        <v>-31253679.992766198</v>
      </c>
      <c r="AG9" s="252">
        <f t="shared" si="0"/>
        <v>0</v>
      </c>
      <c r="AH9" s="252">
        <f t="shared" si="16"/>
        <v>-31253679.992766198</v>
      </c>
      <c r="AI9" s="252">
        <f t="shared" si="17"/>
        <v>31330080.613126013</v>
      </c>
      <c r="AJ9" s="255"/>
      <c r="AK9" s="252">
        <f t="shared" si="2"/>
        <v>76400.620359815657</v>
      </c>
      <c r="AL9" s="252">
        <f t="shared" si="18"/>
        <v>171343.9863390807</v>
      </c>
      <c r="AP9" s="255">
        <v>5</v>
      </c>
      <c r="AQ9" s="243">
        <f t="shared" si="3"/>
        <v>-31253679.992766198</v>
      </c>
      <c r="AR9" s="243">
        <f t="shared" si="19"/>
        <v>-169938248.37023121</v>
      </c>
      <c r="AS9" s="266">
        <f t="shared" si="4"/>
        <v>0</v>
      </c>
      <c r="AT9" s="275">
        <f t="shared" si="1"/>
        <v>0</v>
      </c>
    </row>
    <row r="10" spans="1:46" ht="16.5" thickBot="1" x14ac:dyDescent="0.3">
      <c r="A10" s="1"/>
      <c r="B10" s="7" t="s">
        <v>27</v>
      </c>
      <c r="C10" s="20"/>
      <c r="D10" s="21"/>
      <c r="E10" s="96">
        <v>45678.7</v>
      </c>
      <c r="F10" s="47"/>
      <c r="G10" s="47"/>
      <c r="H10" s="1"/>
      <c r="I10" s="1"/>
      <c r="J10" s="568">
        <v>2023</v>
      </c>
      <c r="K10" s="575">
        <f t="shared" si="20"/>
        <v>0.84492605101687246</v>
      </c>
      <c r="L10" s="576">
        <f t="shared" si="5"/>
        <v>1275265.2405935936</v>
      </c>
      <c r="M10" s="571">
        <f t="shared" si="6"/>
        <v>1234823.1593350496</v>
      </c>
      <c r="N10" s="572">
        <f t="shared" si="21"/>
        <v>6847.9339864289614</v>
      </c>
      <c r="O10" s="573">
        <f t="shared" si="7"/>
        <v>165775794.47187224</v>
      </c>
      <c r="P10" s="573">
        <f t="shared" si="8"/>
        <v>13194000.88056628</v>
      </c>
      <c r="Q10" s="573">
        <f t="shared" si="22"/>
        <v>102021.21924748749</v>
      </c>
      <c r="R10" s="573">
        <f t="shared" si="9"/>
        <v>11052985.238915037</v>
      </c>
      <c r="S10" s="573">
        <f t="shared" si="23"/>
        <v>7750707.3369984217</v>
      </c>
      <c r="T10" s="573">
        <f t="shared" si="10"/>
        <v>83765482.416709095</v>
      </c>
      <c r="U10" s="592" t="s">
        <v>47</v>
      </c>
      <c r="V10" s="586">
        <f t="shared" si="24"/>
        <v>76502641.579063445</v>
      </c>
      <c r="W10" s="586">
        <f t="shared" si="25"/>
        <v>171859244.95683244</v>
      </c>
      <c r="Y10" s="277">
        <v>6</v>
      </c>
      <c r="Z10" s="248">
        <f t="shared" si="11"/>
        <v>181058.65791766459</v>
      </c>
      <c r="AA10" s="169">
        <f t="shared" si="12"/>
        <v>103689.77668620748</v>
      </c>
      <c r="AB10" s="244">
        <f t="shared" si="13"/>
        <v>77368.881231457111</v>
      </c>
      <c r="AC10" s="242">
        <f t="shared" si="26"/>
        <v>29246579.531484582</v>
      </c>
      <c r="AD10" s="243">
        <f t="shared" si="26"/>
        <v>2083501.0816414305</v>
      </c>
      <c r="AE10" s="244">
        <f t="shared" si="14"/>
        <v>31330080.613126013</v>
      </c>
      <c r="AF10" s="252">
        <f t="shared" si="15"/>
        <v>-31252711.731894556</v>
      </c>
      <c r="AG10" s="252">
        <f t="shared" si="0"/>
        <v>0</v>
      </c>
      <c r="AH10" s="252">
        <f t="shared" si="16"/>
        <v>-31252711.731894556</v>
      </c>
      <c r="AI10" s="252">
        <f t="shared" si="17"/>
        <v>31330080.613126013</v>
      </c>
      <c r="AJ10" s="255"/>
      <c r="AK10" s="252">
        <f t="shared" si="2"/>
        <v>77368.881231456995</v>
      </c>
      <c r="AL10" s="252">
        <f t="shared" si="18"/>
        <v>248712.8675705377</v>
      </c>
      <c r="AP10" s="255">
        <v>6</v>
      </c>
      <c r="AQ10" s="243">
        <f t="shared" si="3"/>
        <v>-31252711.731894556</v>
      </c>
      <c r="AR10" s="243">
        <f t="shared" si="19"/>
        <v>-201190960.10212576</v>
      </c>
      <c r="AS10" s="266">
        <f t="shared" si="4"/>
        <v>0</v>
      </c>
      <c r="AT10" s="275">
        <f t="shared" si="1"/>
        <v>0</v>
      </c>
    </row>
    <row r="11" spans="1:46" ht="16.5" thickBot="1" x14ac:dyDescent="0.3">
      <c r="A11" s="1"/>
      <c r="B11" s="22" t="s">
        <v>12</v>
      </c>
      <c r="C11" s="23"/>
      <c r="D11" s="24"/>
      <c r="E11" s="51">
        <v>8760</v>
      </c>
      <c r="F11" s="47"/>
      <c r="G11" s="47"/>
      <c r="H11" s="1"/>
      <c r="I11" s="1"/>
      <c r="J11" s="568">
        <v>2024</v>
      </c>
      <c r="K11" s="575">
        <f t="shared" si="20"/>
        <v>0.84070142076178811</v>
      </c>
      <c r="L11" s="576">
        <f t="shared" si="5"/>
        <v>1268888.9143906259</v>
      </c>
      <c r="M11" s="571">
        <f t="shared" si="6"/>
        <v>1228649.0435383744</v>
      </c>
      <c r="N11" s="572">
        <f t="shared" si="21"/>
        <v>6858.2058874086051</v>
      </c>
      <c r="O11" s="573">
        <f t="shared" si="7"/>
        <v>167930627.04150113</v>
      </c>
      <c r="P11" s="573">
        <f t="shared" si="8"/>
        <v>13128030.876163449</v>
      </c>
      <c r="Q11" s="573">
        <f t="shared" si="22"/>
        <v>101511.11315125007</v>
      </c>
      <c r="R11" s="573">
        <f t="shared" si="9"/>
        <v>11021473.837725567</v>
      </c>
      <c r="S11" s="573">
        <f t="shared" si="23"/>
        <v>7711953.800313429</v>
      </c>
      <c r="T11" s="573">
        <f t="shared" si="10"/>
        <v>84956349.04816848</v>
      </c>
      <c r="U11" s="592" t="s">
        <v>47</v>
      </c>
      <c r="V11" s="586">
        <f t="shared" si="24"/>
        <v>77470392.344608337</v>
      </c>
      <c r="W11" s="586">
        <f t="shared" si="25"/>
        <v>249329637.30144078</v>
      </c>
      <c r="Y11" s="277">
        <v>7</v>
      </c>
      <c r="Z11" s="248">
        <f t="shared" si="11"/>
        <v>184176.20399951504</v>
      </c>
      <c r="AA11" s="169">
        <f t="shared" si="12"/>
        <v>105869.84887705665</v>
      </c>
      <c r="AB11" s="244">
        <f t="shared" si="13"/>
        <v>78306.355122458393</v>
      </c>
      <c r="AC11" s="242">
        <f t="shared" si="26"/>
        <v>29246579.531484582</v>
      </c>
      <c r="AD11" s="243">
        <f t="shared" si="26"/>
        <v>2083501.0816414305</v>
      </c>
      <c r="AE11" s="244">
        <f t="shared" si="14"/>
        <v>31330080.613126013</v>
      </c>
      <c r="AF11" s="252">
        <f t="shared" si="15"/>
        <v>-31251774.258003555</v>
      </c>
      <c r="AG11" s="252">
        <f t="shared" si="0"/>
        <v>0</v>
      </c>
      <c r="AH11" s="252">
        <f t="shared" si="16"/>
        <v>-31251774.258003555</v>
      </c>
      <c r="AI11" s="252">
        <f t="shared" si="17"/>
        <v>31330080.613126013</v>
      </c>
      <c r="AJ11" s="255"/>
      <c r="AK11" s="252">
        <f t="shared" si="2"/>
        <v>78306.35512245819</v>
      </c>
      <c r="AL11" s="252">
        <f t="shared" si="18"/>
        <v>327019.22269299591</v>
      </c>
      <c r="AP11" s="255">
        <v>7</v>
      </c>
      <c r="AQ11" s="243">
        <f t="shared" si="3"/>
        <v>-31251774.258003555</v>
      </c>
      <c r="AR11" s="243">
        <f t="shared" si="19"/>
        <v>-232442734.36012933</v>
      </c>
      <c r="AS11" s="266">
        <f t="shared" si="4"/>
        <v>0</v>
      </c>
      <c r="AT11" s="275">
        <f t="shared" si="1"/>
        <v>0</v>
      </c>
    </row>
    <row r="12" spans="1:46" ht="16.5" thickBot="1" x14ac:dyDescent="0.3">
      <c r="A12" s="1"/>
      <c r="B12" s="83" t="s">
        <v>13</v>
      </c>
      <c r="C12" s="84"/>
      <c r="D12" s="85"/>
      <c r="E12" s="25">
        <v>1.5E-3</v>
      </c>
      <c r="F12" s="47"/>
      <c r="G12" s="46"/>
      <c r="H12" s="1"/>
      <c r="I12" s="1"/>
      <c r="J12" s="568">
        <v>2025</v>
      </c>
      <c r="K12" s="575">
        <f t="shared" si="20"/>
        <v>0.83649791365797921</v>
      </c>
      <c r="L12" s="576">
        <f t="shared" si="5"/>
        <v>1262544.4698186726</v>
      </c>
      <c r="M12" s="571">
        <f t="shared" si="6"/>
        <v>1222505.7983206825</v>
      </c>
      <c r="N12" s="572">
        <f t="shared" si="21"/>
        <v>6868.4931962397186</v>
      </c>
      <c r="O12" s="573">
        <f t="shared" si="7"/>
        <v>171113813.2777324</v>
      </c>
      <c r="P12" s="573">
        <f t="shared" si="8"/>
        <v>13062390.721782632</v>
      </c>
      <c r="Q12" s="573">
        <f t="shared" si="22"/>
        <v>101003.55758549381</v>
      </c>
      <c r="R12" s="573">
        <f t="shared" si="9"/>
        <v>10990119.993542042</v>
      </c>
      <c r="S12" s="573">
        <f t="shared" si="23"/>
        <v>7673394.0313118622</v>
      </c>
      <c r="T12" s="573">
        <f t="shared" si="10"/>
        <v>87206334.852202743</v>
      </c>
      <c r="U12" s="592" t="s">
        <v>47</v>
      </c>
      <c r="V12" s="586">
        <f t="shared" si="24"/>
        <v>78407358.680043876</v>
      </c>
      <c r="W12" s="586">
        <f t="shared" si="25"/>
        <v>327736995.98148465</v>
      </c>
      <c r="Y12" s="277">
        <v>8</v>
      </c>
      <c r="Z12" s="248">
        <f t="shared" si="11"/>
        <v>187051.6896909012</v>
      </c>
      <c r="AA12" s="169">
        <f t="shared" si="12"/>
        <v>107787.72891566281</v>
      </c>
      <c r="AB12" s="244">
        <f t="shared" si="13"/>
        <v>79263.960775238389</v>
      </c>
      <c r="AC12" s="242">
        <f t="shared" si="26"/>
        <v>29246579.531484582</v>
      </c>
      <c r="AD12" s="243">
        <f t="shared" si="26"/>
        <v>2083501.0816414305</v>
      </c>
      <c r="AE12" s="244">
        <f t="shared" si="14"/>
        <v>31330080.613126013</v>
      </c>
      <c r="AF12" s="252">
        <f t="shared" si="15"/>
        <v>-31250816.652350776</v>
      </c>
      <c r="AG12" s="252">
        <f t="shared" si="0"/>
        <v>0</v>
      </c>
      <c r="AH12" s="252">
        <f t="shared" si="16"/>
        <v>-31250816.652350776</v>
      </c>
      <c r="AI12" s="252">
        <f t="shared" si="17"/>
        <v>31330080.613126013</v>
      </c>
      <c r="AJ12" s="255"/>
      <c r="AK12" s="252">
        <f t="shared" si="2"/>
        <v>79263.96077523753</v>
      </c>
      <c r="AL12" s="252">
        <f t="shared" si="18"/>
        <v>406283.18346823344</v>
      </c>
      <c r="AP12" s="255">
        <v>8</v>
      </c>
      <c r="AQ12" s="243">
        <f t="shared" si="3"/>
        <v>-31250816.652350776</v>
      </c>
      <c r="AR12" s="243">
        <f t="shared" si="19"/>
        <v>-263693551.01248011</v>
      </c>
      <c r="AS12" s="266">
        <f t="shared" si="4"/>
        <v>0</v>
      </c>
      <c r="AT12" s="275">
        <f t="shared" si="1"/>
        <v>0</v>
      </c>
    </row>
    <row r="13" spans="1:46" ht="16.5" thickBot="1" x14ac:dyDescent="0.3">
      <c r="A13" s="1"/>
      <c r="B13" s="83" t="s">
        <v>14</v>
      </c>
      <c r="C13" s="84"/>
      <c r="D13" s="85"/>
      <c r="E13" s="25">
        <v>5.0000000000000001E-3</v>
      </c>
      <c r="F13" s="48"/>
      <c r="G13" s="48"/>
      <c r="H13" s="1"/>
      <c r="I13" s="1"/>
      <c r="J13" s="568">
        <v>2026</v>
      </c>
      <c r="K13" s="575">
        <f t="shared" si="20"/>
        <v>0.83231542408968928</v>
      </c>
      <c r="L13" s="576">
        <f t="shared" si="5"/>
        <v>1256231.7474695791</v>
      </c>
      <c r="M13" s="571">
        <f t="shared" si="6"/>
        <v>1216393.269329079</v>
      </c>
      <c r="N13" s="572">
        <f t="shared" si="21"/>
        <v>6878.7959360340783</v>
      </c>
      <c r="O13" s="573">
        <f t="shared" si="7"/>
        <v>174054610.92272747</v>
      </c>
      <c r="P13" s="573">
        <f t="shared" si="8"/>
        <v>12997078.768173717</v>
      </c>
      <c r="Q13" s="573">
        <f t="shared" si="22"/>
        <v>100498.53979756634</v>
      </c>
      <c r="R13" s="573">
        <f t="shared" si="9"/>
        <v>10958922.918579433</v>
      </c>
      <c r="S13" s="573">
        <f t="shared" si="23"/>
        <v>7635027.0611553034</v>
      </c>
      <c r="T13" s="573">
        <f t="shared" si="10"/>
        <v>89193778.935928077</v>
      </c>
      <c r="U13" s="592" t="s">
        <v>47</v>
      </c>
      <c r="V13" s="586">
        <f t="shared" si="24"/>
        <v>79364459.315035969</v>
      </c>
      <c r="W13" s="586">
        <f t="shared" si="25"/>
        <v>407101455.29652059</v>
      </c>
      <c r="Y13" s="277">
        <v>9</v>
      </c>
      <c r="Z13" s="248">
        <f t="shared" si="11"/>
        <v>189278.80431402769</v>
      </c>
      <c r="AA13" s="169">
        <f t="shared" si="12"/>
        <v>108874.77182117317</v>
      </c>
      <c r="AB13" s="244">
        <f t="shared" si="13"/>
        <v>80404.032492854516</v>
      </c>
      <c r="AC13" s="242">
        <f t="shared" si="26"/>
        <v>29246579.531484582</v>
      </c>
      <c r="AD13" s="243">
        <f t="shared" si="26"/>
        <v>2083501.0816414305</v>
      </c>
      <c r="AE13" s="244">
        <f t="shared" si="14"/>
        <v>31330080.613126013</v>
      </c>
      <c r="AF13" s="252">
        <f t="shared" si="15"/>
        <v>-31249676.58063316</v>
      </c>
      <c r="AG13" s="252">
        <f t="shared" si="0"/>
        <v>0</v>
      </c>
      <c r="AH13" s="252">
        <f t="shared" si="16"/>
        <v>-31249676.58063316</v>
      </c>
      <c r="AI13" s="252">
        <f t="shared" si="17"/>
        <v>31330080.613126013</v>
      </c>
      <c r="AJ13" s="255"/>
      <c r="AK13" s="252">
        <f t="shared" si="2"/>
        <v>80404.032492853701</v>
      </c>
      <c r="AL13" s="252">
        <f t="shared" si="18"/>
        <v>486687.21596108715</v>
      </c>
      <c r="AP13" s="255">
        <v>9</v>
      </c>
      <c r="AQ13" s="243">
        <f t="shared" si="3"/>
        <v>-31249676.58063316</v>
      </c>
      <c r="AR13" s="243">
        <f t="shared" si="19"/>
        <v>-294943227.59311324</v>
      </c>
      <c r="AS13" s="266">
        <f t="shared" si="4"/>
        <v>0</v>
      </c>
      <c r="AT13" s="275">
        <f t="shared" si="1"/>
        <v>0</v>
      </c>
    </row>
    <row r="14" spans="1:46" ht="16.5" thickBot="1" x14ac:dyDescent="0.3">
      <c r="A14" s="1"/>
      <c r="B14" s="740" t="s">
        <v>25</v>
      </c>
      <c r="C14" s="741"/>
      <c r="D14" s="742"/>
      <c r="E14" s="160">
        <v>9.47817E-7</v>
      </c>
      <c r="F14" s="48"/>
      <c r="G14" s="48"/>
      <c r="H14" s="1"/>
      <c r="I14" s="1"/>
      <c r="J14" s="568">
        <v>2027</v>
      </c>
      <c r="K14" s="575">
        <f t="shared" si="20"/>
        <v>0.82815384696924088</v>
      </c>
      <c r="L14" s="576">
        <f t="shared" si="5"/>
        <v>1249950.5887322314</v>
      </c>
      <c r="M14" s="571">
        <f t="shared" si="6"/>
        <v>1210311.3029824337</v>
      </c>
      <c r="N14" s="572">
        <f t="shared" si="21"/>
        <v>6889.1141299381297</v>
      </c>
      <c r="O14" s="573">
        <f t="shared" si="7"/>
        <v>176346710.93969485</v>
      </c>
      <c r="P14" s="573">
        <f t="shared" si="8"/>
        <v>12932093.374332855</v>
      </c>
      <c r="Q14" s="573">
        <f t="shared" si="22"/>
        <v>99996.047098578521</v>
      </c>
      <c r="R14" s="573">
        <f t="shared" si="9"/>
        <v>10927881.82899164</v>
      </c>
      <c r="S14" s="573">
        <f t="shared" si="23"/>
        <v>7596851.9258495271</v>
      </c>
      <c r="T14" s="573">
        <f t="shared" si="10"/>
        <v>90350038.066332012</v>
      </c>
      <c r="U14" s="592" t="s">
        <v>47</v>
      </c>
      <c r="V14" s="586">
        <f t="shared" si="24"/>
        <v>80504028.539953083</v>
      </c>
      <c r="W14" s="586">
        <f t="shared" si="25"/>
        <v>487605483.8364737</v>
      </c>
      <c r="Y14" s="277">
        <v>10</v>
      </c>
      <c r="Z14" s="248">
        <f t="shared" si="11"/>
        <v>190460.47715814196</v>
      </c>
      <c r="AA14" s="169">
        <f t="shared" si="12"/>
        <v>109139.64488317051</v>
      </c>
      <c r="AB14" s="244">
        <f t="shared" si="13"/>
        <v>81320.832274971457</v>
      </c>
      <c r="AC14" s="242">
        <f t="shared" si="26"/>
        <v>29246579.531484582</v>
      </c>
      <c r="AD14" s="243">
        <f t="shared" si="26"/>
        <v>2083501.0816414305</v>
      </c>
      <c r="AE14" s="244">
        <f t="shared" si="14"/>
        <v>31330080.613126013</v>
      </c>
      <c r="AF14" s="252">
        <f t="shared" si="15"/>
        <v>-31248759.780851044</v>
      </c>
      <c r="AG14" s="252">
        <f t="shared" si="0"/>
        <v>0</v>
      </c>
      <c r="AH14" s="252">
        <f t="shared" si="16"/>
        <v>-31248759.780851044</v>
      </c>
      <c r="AI14" s="252">
        <f t="shared" si="17"/>
        <v>31330080.613126013</v>
      </c>
      <c r="AJ14" s="255"/>
      <c r="AK14" s="252">
        <f t="shared" si="2"/>
        <v>81320.832274969667</v>
      </c>
      <c r="AL14" s="252">
        <f t="shared" si="18"/>
        <v>568008.04823605681</v>
      </c>
      <c r="AP14" s="255">
        <v>10</v>
      </c>
      <c r="AQ14" s="243">
        <f t="shared" si="3"/>
        <v>-31248759.780851044</v>
      </c>
      <c r="AR14" s="243">
        <f t="shared" si="19"/>
        <v>-326191987.37396431</v>
      </c>
      <c r="AS14" s="266">
        <f t="shared" si="4"/>
        <v>0</v>
      </c>
      <c r="AT14" s="275">
        <f t="shared" si="1"/>
        <v>0</v>
      </c>
    </row>
    <row r="15" spans="1:46" ht="16.5" thickBot="1" x14ac:dyDescent="0.3">
      <c r="A15" s="1"/>
      <c r="B15" s="740" t="s">
        <v>75</v>
      </c>
      <c r="C15" s="741"/>
      <c r="D15" s="742"/>
      <c r="E15" s="25">
        <v>226110.53</v>
      </c>
      <c r="F15" s="48"/>
      <c r="G15" s="48"/>
      <c r="H15" s="1"/>
      <c r="I15" s="1"/>
      <c r="J15" s="568">
        <v>2028</v>
      </c>
      <c r="K15" s="575">
        <f t="shared" si="20"/>
        <v>0.82401307773439469</v>
      </c>
      <c r="L15" s="576">
        <f t="shared" si="5"/>
        <v>1243700.8357885701</v>
      </c>
      <c r="M15" s="571">
        <f t="shared" si="6"/>
        <v>1204259.7464675216</v>
      </c>
      <c r="N15" s="572">
        <f t="shared" si="21"/>
        <v>6899.4478011330375</v>
      </c>
      <c r="O15" s="573">
        <f t="shared" si="7"/>
        <v>177593044.25068077</v>
      </c>
      <c r="P15" s="573">
        <f t="shared" si="8"/>
        <v>12867432.907461189</v>
      </c>
      <c r="Q15" s="573">
        <f t="shared" si="22"/>
        <v>99496.066863085609</v>
      </c>
      <c r="R15" s="573">
        <f t="shared" si="9"/>
        <v>10896995.944851784</v>
      </c>
      <c r="S15" s="573">
        <f t="shared" si="23"/>
        <v>7558867.6662202794</v>
      </c>
      <c r="T15" s="573">
        <f t="shared" si="10"/>
        <v>90683781.272098437</v>
      </c>
      <c r="U15" s="592" t="s">
        <v>47</v>
      </c>
      <c r="V15" s="586">
        <f t="shared" si="24"/>
        <v>81420328.34183456</v>
      </c>
      <c r="W15" s="586">
        <f t="shared" si="25"/>
        <v>569025812.17830825</v>
      </c>
      <c r="Y15" s="277">
        <v>11</v>
      </c>
      <c r="Z15" s="248">
        <f t="shared" si="11"/>
        <v>192486.67022260735</v>
      </c>
      <c r="AA15" s="169">
        <f t="shared" si="12"/>
        <v>110130.8188523827</v>
      </c>
      <c r="AB15" s="244">
        <f t="shared" si="13"/>
        <v>82355.851370224656</v>
      </c>
      <c r="AC15" s="242">
        <v>0</v>
      </c>
      <c r="AD15" s="243">
        <f t="shared" si="26"/>
        <v>2083501.0816414305</v>
      </c>
      <c r="AE15" s="244">
        <f t="shared" si="14"/>
        <v>2083501.0816414305</v>
      </c>
      <c r="AF15" s="252">
        <f t="shared" si="15"/>
        <v>-2001145.2302712058</v>
      </c>
      <c r="AG15" s="252">
        <f t="shared" si="0"/>
        <v>0</v>
      </c>
      <c r="AH15" s="252">
        <f t="shared" si="16"/>
        <v>-2001145.2302712058</v>
      </c>
      <c r="AI15" s="252">
        <f t="shared" si="17"/>
        <v>2083501.0816414305</v>
      </c>
      <c r="AJ15" s="255"/>
      <c r="AK15" s="252">
        <f t="shared" si="2"/>
        <v>82355.851370224729</v>
      </c>
      <c r="AL15" s="252">
        <f t="shared" si="18"/>
        <v>650363.89960628154</v>
      </c>
      <c r="AP15" s="255">
        <v>11</v>
      </c>
      <c r="AQ15" s="243">
        <f t="shared" si="3"/>
        <v>-2001145.2302712058</v>
      </c>
      <c r="AR15" s="243">
        <f t="shared" si="19"/>
        <v>-328193132.60423553</v>
      </c>
      <c r="AS15" s="266">
        <f t="shared" si="4"/>
        <v>0</v>
      </c>
      <c r="AT15" s="275">
        <f t="shared" si="1"/>
        <v>0</v>
      </c>
    </row>
    <row r="16" spans="1:46" ht="16.5" thickBot="1" x14ac:dyDescent="0.3">
      <c r="A16" s="1"/>
      <c r="B16" s="740" t="s">
        <v>69</v>
      </c>
      <c r="C16" s="741"/>
      <c r="D16" s="742"/>
      <c r="E16" s="159">
        <v>4.5780000000000003</v>
      </c>
      <c r="F16" s="1"/>
      <c r="G16" s="1"/>
      <c r="H16" s="1"/>
      <c r="I16" s="1"/>
      <c r="J16" s="568">
        <v>2029</v>
      </c>
      <c r="K16" s="575">
        <f t="shared" si="20"/>
        <v>0.81989301234572276</v>
      </c>
      <c r="L16" s="576">
        <f t="shared" si="5"/>
        <v>1237482.3316096275</v>
      </c>
      <c r="M16" s="571">
        <f t="shared" si="6"/>
        <v>1198238.4477351841</v>
      </c>
      <c r="N16" s="572">
        <f t="shared" si="21"/>
        <v>6909.7969728347371</v>
      </c>
      <c r="O16" s="573">
        <f t="shared" si="7"/>
        <v>179683574.47968346</v>
      </c>
      <c r="P16" s="573">
        <f t="shared" si="8"/>
        <v>12803095.742923886</v>
      </c>
      <c r="Q16" s="573">
        <f t="shared" si="22"/>
        <v>98998.586528770204</v>
      </c>
      <c r="R16" s="573">
        <f t="shared" si="9"/>
        <v>10866264.49013263</v>
      </c>
      <c r="S16" s="573">
        <f t="shared" si="23"/>
        <v>7521073.3278891789</v>
      </c>
      <c r="T16" s="573">
        <f t="shared" si="10"/>
        <v>91743481.034360901</v>
      </c>
      <c r="U16" s="592" t="s">
        <v>47</v>
      </c>
      <c r="V16" s="586">
        <f t="shared" si="24"/>
        <v>82454849.956753418</v>
      </c>
      <c r="W16" s="586">
        <f t="shared" si="25"/>
        <v>651480662.13506162</v>
      </c>
      <c r="Y16" s="277">
        <v>12</v>
      </c>
      <c r="Z16" s="248">
        <f t="shared" si="11"/>
        <v>195595.4234272154</v>
      </c>
      <c r="AA16" s="169">
        <f t="shared" si="12"/>
        <v>112244.44296745097</v>
      </c>
      <c r="AB16" s="244">
        <f t="shared" si="13"/>
        <v>83350.980459764425</v>
      </c>
      <c r="AC16" s="242">
        <v>0</v>
      </c>
      <c r="AD16" s="243">
        <f t="shared" si="26"/>
        <v>2083501.0816414305</v>
      </c>
      <c r="AE16" s="244">
        <f t="shared" si="14"/>
        <v>2083501.0816414305</v>
      </c>
      <c r="AF16" s="252">
        <f t="shared" si="15"/>
        <v>-2000150.1011816661</v>
      </c>
      <c r="AG16" s="252">
        <f t="shared" si="0"/>
        <v>0</v>
      </c>
      <c r="AH16" s="252">
        <f t="shared" si="16"/>
        <v>-2000150.1011816661</v>
      </c>
      <c r="AI16" s="252">
        <f t="shared" si="17"/>
        <v>2083501.0816414305</v>
      </c>
      <c r="AJ16" s="255"/>
      <c r="AK16" s="252">
        <f t="shared" si="2"/>
        <v>83350.980459764367</v>
      </c>
      <c r="AL16" s="252">
        <f t="shared" si="18"/>
        <v>733714.88006604591</v>
      </c>
      <c r="AP16" s="255">
        <v>12</v>
      </c>
      <c r="AQ16" s="243">
        <f t="shared" si="3"/>
        <v>-2000150.1011816661</v>
      </c>
      <c r="AR16" s="243">
        <f t="shared" si="19"/>
        <v>-330193282.70541722</v>
      </c>
      <c r="AS16" s="266">
        <f t="shared" si="4"/>
        <v>0</v>
      </c>
      <c r="AT16" s="275">
        <f t="shared" si="1"/>
        <v>0</v>
      </c>
    </row>
    <row r="17" spans="1:46" ht="16.5" thickBot="1" x14ac:dyDescent="0.3">
      <c r="A17" s="1"/>
      <c r="B17" s="740" t="s">
        <v>72</v>
      </c>
      <c r="C17" s="741"/>
      <c r="D17" s="742"/>
      <c r="E17" s="25">
        <f>0.2922*3600</f>
        <v>1051.92</v>
      </c>
      <c r="F17" s="1"/>
      <c r="G17" s="1"/>
      <c r="H17" s="1"/>
      <c r="I17" s="1"/>
      <c r="J17" s="568">
        <v>2030</v>
      </c>
      <c r="K17" s="575">
        <f t="shared" si="20"/>
        <v>0.81579354728399411</v>
      </c>
      <c r="L17" s="576">
        <f t="shared" si="5"/>
        <v>1231294.9199515793</v>
      </c>
      <c r="M17" s="571">
        <f t="shared" si="6"/>
        <v>1192247.255496508</v>
      </c>
      <c r="N17" s="572">
        <f t="shared" si="21"/>
        <v>6920.1616682939894</v>
      </c>
      <c r="O17" s="573">
        <f t="shared" si="7"/>
        <v>182856343.16300613</v>
      </c>
      <c r="P17" s="573">
        <f t="shared" si="8"/>
        <v>12739080.264209263</v>
      </c>
      <c r="Q17" s="573">
        <f t="shared" si="22"/>
        <v>98503.593596126346</v>
      </c>
      <c r="R17" s="573">
        <f t="shared" si="9"/>
        <v>10835686.692687068</v>
      </c>
      <c r="S17" s="573">
        <f t="shared" si="23"/>
        <v>7483467.9612497324</v>
      </c>
      <c r="T17" s="573">
        <f t="shared" si="10"/>
        <v>93925288.313514173</v>
      </c>
      <c r="U17" s="592" t="s">
        <v>47</v>
      </c>
      <c r="V17" s="586">
        <f t="shared" si="24"/>
        <v>83449484.053360552</v>
      </c>
      <c r="W17" s="586">
        <f t="shared" si="25"/>
        <v>734930146.1884222</v>
      </c>
      <c r="Y17" s="277">
        <v>13</v>
      </c>
      <c r="Z17" s="248">
        <f t="shared" si="11"/>
        <v>198469.76776172419</v>
      </c>
      <c r="AA17" s="169">
        <f t="shared" si="12"/>
        <v>114100.54011798748</v>
      </c>
      <c r="AB17" s="244">
        <f t="shared" si="13"/>
        <v>84369.227643736711</v>
      </c>
      <c r="AC17" s="242">
        <v>0</v>
      </c>
      <c r="AD17" s="243">
        <f t="shared" si="26"/>
        <v>2083501.0816414305</v>
      </c>
      <c r="AE17" s="244">
        <f t="shared" si="14"/>
        <v>2083501.0816414305</v>
      </c>
      <c r="AF17" s="252">
        <f t="shared" si="15"/>
        <v>-1999131.8539976939</v>
      </c>
      <c r="AG17" s="252">
        <f t="shared" si="0"/>
        <v>0</v>
      </c>
      <c r="AH17" s="252">
        <f t="shared" si="16"/>
        <v>-1999131.8539976939</v>
      </c>
      <c r="AI17" s="252">
        <f t="shared" si="17"/>
        <v>2083501.0816414305</v>
      </c>
      <c r="AJ17" s="255"/>
      <c r="AK17" s="252">
        <f t="shared" si="2"/>
        <v>84369.227643736638</v>
      </c>
      <c r="AL17" s="252">
        <f t="shared" si="18"/>
        <v>818084.10770978255</v>
      </c>
      <c r="AP17" s="255">
        <v>13</v>
      </c>
      <c r="AQ17" s="243">
        <f t="shared" si="3"/>
        <v>-1999131.8539976939</v>
      </c>
      <c r="AR17" s="243">
        <f t="shared" si="19"/>
        <v>-332192414.55941492</v>
      </c>
      <c r="AS17" s="266">
        <f t="shared" si="4"/>
        <v>0</v>
      </c>
      <c r="AT17" s="275">
        <f t="shared" si="1"/>
        <v>0</v>
      </c>
    </row>
    <row r="18" spans="1:46" ht="16.5" thickBot="1" x14ac:dyDescent="0.3">
      <c r="A18" s="1"/>
      <c r="B18" s="740" t="s">
        <v>74</v>
      </c>
      <c r="C18" s="741"/>
      <c r="D18" s="742"/>
      <c r="E18" s="159">
        <f>2.5*E16</f>
        <v>11.445</v>
      </c>
      <c r="F18" s="1"/>
      <c r="G18" s="1"/>
      <c r="H18" s="1"/>
      <c r="I18" s="1"/>
      <c r="J18" s="568">
        <v>2031</v>
      </c>
      <c r="K18" s="575">
        <f t="shared" si="20"/>
        <v>0.81171457954757409</v>
      </c>
      <c r="L18" s="576">
        <f t="shared" si="5"/>
        <v>1225138.4453518214</v>
      </c>
      <c r="M18" s="571">
        <f t="shared" si="6"/>
        <v>1186286.0192190255</v>
      </c>
      <c r="N18" s="572">
        <f t="shared" si="21"/>
        <v>6930.5419107964308</v>
      </c>
      <c r="O18" s="573">
        <f t="shared" si="7"/>
        <v>185794382.89883596</v>
      </c>
      <c r="P18" s="573">
        <f t="shared" si="8"/>
        <v>12675384.862888215</v>
      </c>
      <c r="Q18" s="573">
        <f t="shared" si="22"/>
        <v>98011.075628145714</v>
      </c>
      <c r="R18" s="573">
        <f t="shared" si="9"/>
        <v>10805261.784228737</v>
      </c>
      <c r="S18" s="573">
        <f t="shared" si="23"/>
        <v>7446050.621443483</v>
      </c>
      <c r="T18" s="573">
        <f t="shared" si="10"/>
        <v>95849227.712315246</v>
      </c>
      <c r="U18" s="592" t="s">
        <v>47</v>
      </c>
      <c r="V18" s="586">
        <f t="shared" si="24"/>
        <v>84467238.719364837</v>
      </c>
      <c r="W18" s="586">
        <f t="shared" si="25"/>
        <v>819397384.90778708</v>
      </c>
      <c r="Y18" s="277">
        <v>14</v>
      </c>
      <c r="Z18" s="248">
        <f t="shared" si="11"/>
        <v>201722.7707419784</v>
      </c>
      <c r="AA18" s="169">
        <f t="shared" si="12"/>
        <v>116343.30284677145</v>
      </c>
      <c r="AB18" s="244">
        <f t="shared" si="13"/>
        <v>85379.467895206952</v>
      </c>
      <c r="AC18" s="242">
        <v>0</v>
      </c>
      <c r="AD18" s="243">
        <f t="shared" si="26"/>
        <v>2083501.0816414305</v>
      </c>
      <c r="AE18" s="244">
        <f t="shared" si="14"/>
        <v>2083501.0816414305</v>
      </c>
      <c r="AF18" s="252">
        <f t="shared" si="15"/>
        <v>-1998121.6137462235</v>
      </c>
      <c r="AG18" s="252">
        <f t="shared" si="0"/>
        <v>0</v>
      </c>
      <c r="AH18" s="252">
        <f t="shared" si="16"/>
        <v>-1998121.6137462235</v>
      </c>
      <c r="AI18" s="252">
        <f t="shared" si="17"/>
        <v>2083501.0816414305</v>
      </c>
      <c r="AJ18" s="255"/>
      <c r="AK18" s="252">
        <f t="shared" si="2"/>
        <v>85379.467895206995</v>
      </c>
      <c r="AL18" s="252">
        <f t="shared" si="18"/>
        <v>903463.57560498954</v>
      </c>
      <c r="AP18" s="255">
        <v>14</v>
      </c>
      <c r="AQ18" s="243">
        <f t="shared" si="3"/>
        <v>-1998121.6137462235</v>
      </c>
      <c r="AR18" s="243">
        <f t="shared" si="19"/>
        <v>-334190536.17316115</v>
      </c>
      <c r="AS18" s="266">
        <f t="shared" si="4"/>
        <v>0</v>
      </c>
      <c r="AT18" s="275">
        <f t="shared" si="1"/>
        <v>0</v>
      </c>
    </row>
    <row r="19" spans="1:46" ht="16.5" thickBot="1" x14ac:dyDescent="0.3">
      <c r="A19" s="1"/>
      <c r="B19" s="740" t="s">
        <v>270</v>
      </c>
      <c r="C19" s="741"/>
      <c r="D19" s="742"/>
      <c r="E19" s="545">
        <f>(Emisiones!C3-Emisiones!C4)/1000</f>
        <v>0.02</v>
      </c>
      <c r="F19" s="1"/>
      <c r="G19" s="1"/>
      <c r="H19" s="1"/>
      <c r="I19" s="1"/>
      <c r="J19" s="568">
        <v>2032</v>
      </c>
      <c r="K19" s="575">
        <f t="shared" si="20"/>
        <v>0.80765600664983617</v>
      </c>
      <c r="L19" s="576">
        <f t="shared" si="5"/>
        <v>1219012.753125062</v>
      </c>
      <c r="M19" s="571">
        <f t="shared" si="6"/>
        <v>1180354.5891229303</v>
      </c>
      <c r="N19" s="572">
        <f t="shared" si="21"/>
        <v>6940.937723662626</v>
      </c>
      <c r="O19" s="573">
        <f t="shared" si="7"/>
        <v>189110762.80340463</v>
      </c>
      <c r="P19" s="573">
        <f t="shared" si="8"/>
        <v>12612007.93857377</v>
      </c>
      <c r="Q19" s="573">
        <f t="shared" si="22"/>
        <v>97521.020250004964</v>
      </c>
      <c r="R19" s="573">
        <f t="shared" si="9"/>
        <v>10774989.000312693</v>
      </c>
      <c r="S19" s="573">
        <f t="shared" si="23"/>
        <v>7408820.368336265</v>
      </c>
      <c r="T19" s="573">
        <f t="shared" si="10"/>
        <v>98159493.478122488</v>
      </c>
      <c r="U19" s="592" t="s">
        <v>47</v>
      </c>
      <c r="V19" s="586">
        <f t="shared" si="24"/>
        <v>85476988.915456966</v>
      </c>
      <c r="W19" s="586">
        <f t="shared" si="25"/>
        <v>904874373.82324409</v>
      </c>
      <c r="Y19" s="277">
        <v>15</v>
      </c>
      <c r="Z19" s="248">
        <f t="shared" si="11"/>
        <v>202621.26049274867</v>
      </c>
      <c r="AA19" s="169">
        <f t="shared" si="12"/>
        <v>116091.67165818423</v>
      </c>
      <c r="AB19" s="244">
        <f t="shared" si="13"/>
        <v>86529.588834564434</v>
      </c>
      <c r="AC19" s="242">
        <v>0</v>
      </c>
      <c r="AD19" s="243">
        <f t="shared" si="26"/>
        <v>2083501.0816414305</v>
      </c>
      <c r="AE19" s="244">
        <f t="shared" si="14"/>
        <v>2083501.0816414305</v>
      </c>
      <c r="AF19" s="252">
        <f t="shared" si="15"/>
        <v>-1996971.4928068661</v>
      </c>
      <c r="AG19" s="252">
        <f t="shared" si="0"/>
        <v>0</v>
      </c>
      <c r="AH19" s="252">
        <f t="shared" si="16"/>
        <v>-1996971.4928068661</v>
      </c>
      <c r="AI19" s="252">
        <f t="shared" si="17"/>
        <v>2083501.0816414305</v>
      </c>
      <c r="AJ19" s="255"/>
      <c r="AK19" s="252">
        <f t="shared" si="2"/>
        <v>86529.588834564434</v>
      </c>
      <c r="AL19" s="252">
        <f t="shared" si="18"/>
        <v>989993.16443955398</v>
      </c>
      <c r="AP19" s="255">
        <v>15</v>
      </c>
      <c r="AQ19" s="243">
        <f t="shared" si="3"/>
        <v>-1996971.4928068661</v>
      </c>
      <c r="AR19" s="243">
        <f t="shared" si="19"/>
        <v>-336187507.665968</v>
      </c>
      <c r="AS19" s="266">
        <f t="shared" si="4"/>
        <v>0</v>
      </c>
      <c r="AT19" s="275">
        <f t="shared" si="1"/>
        <v>0</v>
      </c>
    </row>
    <row r="20" spans="1:46" ht="15.75" thickBot="1" x14ac:dyDescent="0.3">
      <c r="B20" s="92" t="s">
        <v>64</v>
      </c>
      <c r="C20" s="94" t="s">
        <v>58</v>
      </c>
      <c r="D20" s="94" t="s">
        <v>61</v>
      </c>
      <c r="E20" s="82" t="s">
        <v>62</v>
      </c>
      <c r="F20" s="1"/>
      <c r="G20" s="1"/>
      <c r="H20" s="1"/>
      <c r="I20" s="1"/>
      <c r="J20" s="568">
        <v>2033</v>
      </c>
      <c r="K20" s="575">
        <f t="shared" si="20"/>
        <v>0.80361772661658704</v>
      </c>
      <c r="L20" s="576">
        <f t="shared" si="5"/>
        <v>1212917.689359437</v>
      </c>
      <c r="M20" s="571">
        <f t="shared" si="6"/>
        <v>1174452.8161773155</v>
      </c>
      <c r="N20" s="572">
        <f t="shared" si="21"/>
        <v>6951.3491302481207</v>
      </c>
      <c r="O20" s="573">
        <f t="shared" si="7"/>
        <v>190072312.59386778</v>
      </c>
      <c r="P20" s="573">
        <f t="shared" si="8"/>
        <v>12548947.898880905</v>
      </c>
      <c r="Q20" s="573">
        <f t="shared" si="22"/>
        <v>97033.415148754953</v>
      </c>
      <c r="R20" s="573">
        <f t="shared" si="9"/>
        <v>10744867.580316234</v>
      </c>
      <c r="S20" s="573">
        <f t="shared" si="23"/>
        <v>7371776.2664945843</v>
      </c>
      <c r="T20" s="573">
        <f t="shared" si="10"/>
        <v>97975027.811373413</v>
      </c>
      <c r="U20" s="592" t="s">
        <v>47</v>
      </c>
      <c r="V20" s="586">
        <f t="shared" si="24"/>
        <v>86626622.249713212</v>
      </c>
      <c r="W20" s="586">
        <f t="shared" si="25"/>
        <v>991500996.07295728</v>
      </c>
      <c r="Y20" s="277">
        <v>16</v>
      </c>
      <c r="Z20" s="248">
        <f t="shared" si="11"/>
        <v>205045.99101628643</v>
      </c>
      <c r="AA20" s="169">
        <f t="shared" si="12"/>
        <v>117433.14428378387</v>
      </c>
      <c r="AB20" s="244">
        <f t="shared" si="13"/>
        <v>87612.846732502556</v>
      </c>
      <c r="AC20" s="242">
        <v>0</v>
      </c>
      <c r="AD20" s="243">
        <f t="shared" si="26"/>
        <v>2083501.0816414305</v>
      </c>
      <c r="AE20" s="244">
        <f t="shared" si="14"/>
        <v>2083501.0816414305</v>
      </c>
      <c r="AF20" s="252">
        <f t="shared" si="15"/>
        <v>-1995888.2349089279</v>
      </c>
      <c r="AG20" s="252">
        <f t="shared" si="0"/>
        <v>0</v>
      </c>
      <c r="AH20" s="252">
        <f t="shared" si="16"/>
        <v>-1995888.2349089279</v>
      </c>
      <c r="AI20" s="252">
        <f t="shared" si="17"/>
        <v>2083501.0816414305</v>
      </c>
      <c r="AJ20" s="255"/>
      <c r="AK20" s="252">
        <f t="shared" si="2"/>
        <v>87612.84673250257</v>
      </c>
      <c r="AL20" s="252">
        <f t="shared" si="18"/>
        <v>1077606.0111720567</v>
      </c>
      <c r="AP20" s="255">
        <v>16</v>
      </c>
      <c r="AQ20" s="243">
        <f t="shared" si="3"/>
        <v>-1995888.2349089279</v>
      </c>
      <c r="AR20" s="243">
        <f t="shared" si="19"/>
        <v>-338183395.90087694</v>
      </c>
      <c r="AS20" s="266">
        <f t="shared" si="4"/>
        <v>0</v>
      </c>
      <c r="AT20" s="275">
        <f t="shared" si="1"/>
        <v>0</v>
      </c>
    </row>
    <row r="21" spans="1:46" x14ac:dyDescent="0.25">
      <c r="B21" s="89" t="s">
        <v>60</v>
      </c>
      <c r="C21" s="89">
        <v>0.9</v>
      </c>
      <c r="D21" s="89">
        <f>E4-D22</f>
        <v>160.822</v>
      </c>
      <c r="E21" s="86">
        <f>D21/E4</f>
        <v>0.93339988508215466</v>
      </c>
      <c r="F21" s="1"/>
      <c r="G21" s="1"/>
      <c r="H21" s="1"/>
      <c r="I21" s="1"/>
      <c r="J21" s="568">
        <v>2034</v>
      </c>
      <c r="K21" s="575">
        <f t="shared" si="20"/>
        <v>0.79959963798350409</v>
      </c>
      <c r="L21" s="576">
        <f t="shared" si="5"/>
        <v>1206853.1009126399</v>
      </c>
      <c r="M21" s="571">
        <f t="shared" si="6"/>
        <v>1168580.552096429</v>
      </c>
      <c r="N21" s="572">
        <f t="shared" si="21"/>
        <v>6961.7761539434932</v>
      </c>
      <c r="O21" s="573">
        <f t="shared" si="7"/>
        <v>192559787.85689992</v>
      </c>
      <c r="P21" s="573">
        <f t="shared" si="8"/>
        <v>12486203.159386501</v>
      </c>
      <c r="Q21" s="573">
        <f t="shared" si="22"/>
        <v>96548.248073011186</v>
      </c>
      <c r="R21" s="573">
        <f t="shared" si="9"/>
        <v>10714896.767419757</v>
      </c>
      <c r="S21" s="573">
        <f t="shared" si="23"/>
        <v>7334917.3851621114</v>
      </c>
      <c r="T21" s="573">
        <f t="shared" si="10"/>
        <v>99383330.131201997</v>
      </c>
      <c r="U21" s="592" t="s">
        <v>47</v>
      </c>
      <c r="V21" s="586">
        <f t="shared" si="24"/>
        <v>87709394.980575576</v>
      </c>
      <c r="W21" s="586">
        <f t="shared" si="25"/>
        <v>1079210391.0535328</v>
      </c>
      <c r="Y21" s="279">
        <v>17</v>
      </c>
      <c r="Z21" s="249">
        <f t="shared" si="11"/>
        <v>206423.9851019473</v>
      </c>
      <c r="AA21" s="250">
        <f t="shared" si="12"/>
        <v>117652.89980439062</v>
      </c>
      <c r="AB21" s="251">
        <f t="shared" si="13"/>
        <v>88771.085297556681</v>
      </c>
      <c r="AC21" s="256">
        <v>0</v>
      </c>
      <c r="AD21" s="257">
        <f t="shared" si="26"/>
        <v>2083501.0816414305</v>
      </c>
      <c r="AE21" s="251">
        <f t="shared" si="14"/>
        <v>2083501.0816414305</v>
      </c>
      <c r="AF21" s="253">
        <f t="shared" si="15"/>
        <v>-1994729.9963438739</v>
      </c>
      <c r="AG21" s="253">
        <f t="shared" si="0"/>
        <v>0</v>
      </c>
      <c r="AH21" s="253">
        <f t="shared" si="16"/>
        <v>-1994729.9963438739</v>
      </c>
      <c r="AI21" s="253">
        <f t="shared" si="17"/>
        <v>2083501.0816414305</v>
      </c>
      <c r="AJ21" s="258"/>
      <c r="AK21" s="253">
        <f t="shared" si="2"/>
        <v>88771.085297556594</v>
      </c>
      <c r="AL21" s="253">
        <f t="shared" si="18"/>
        <v>1166377.0964696133</v>
      </c>
      <c r="AP21" s="258">
        <v>17</v>
      </c>
      <c r="AQ21" s="257">
        <f t="shared" si="3"/>
        <v>-1994729.9963438739</v>
      </c>
      <c r="AR21" s="257">
        <f t="shared" si="19"/>
        <v>-340178125.89722079</v>
      </c>
      <c r="AS21" s="267">
        <f t="shared" si="4"/>
        <v>0</v>
      </c>
      <c r="AT21" s="276">
        <f t="shared" si="1"/>
        <v>0</v>
      </c>
    </row>
    <row r="22" spans="1:46" ht="15.75" thickBot="1" x14ac:dyDescent="0.3">
      <c r="B22" s="90" t="s">
        <v>59</v>
      </c>
      <c r="C22" s="90">
        <v>0.33</v>
      </c>
      <c r="D22" s="90">
        <v>11.475</v>
      </c>
      <c r="E22" s="87">
        <f>D22/E4</f>
        <v>6.6600114917845343E-2</v>
      </c>
      <c r="F22" s="1"/>
      <c r="G22" s="1"/>
      <c r="H22" s="1"/>
      <c r="I22" s="1"/>
      <c r="J22" s="577">
        <v>2035</v>
      </c>
      <c r="K22" s="578">
        <f t="shared" si="20"/>
        <v>0.79560163979358656</v>
      </c>
      <c r="L22" s="579">
        <f t="shared" si="5"/>
        <v>1200818.8354080764</v>
      </c>
      <c r="M22" s="580">
        <f t="shared" si="6"/>
        <v>1162737.6493359469</v>
      </c>
      <c r="N22" s="581">
        <f t="shared" si="21"/>
        <v>6972.2188181744086</v>
      </c>
      <c r="O22" s="582">
        <f t="shared" si="7"/>
        <v>194000212.95835775</v>
      </c>
      <c r="P22" s="582">
        <f t="shared" si="8"/>
        <v>12423772.143589567</v>
      </c>
      <c r="Q22" s="582">
        <f t="shared" si="22"/>
        <v>96065.506832646119</v>
      </c>
      <c r="R22" s="582">
        <f t="shared" si="9"/>
        <v>10685075.80858776</v>
      </c>
      <c r="S22" s="582">
        <f t="shared" si="23"/>
        <v>7298242.7982363002</v>
      </c>
      <c r="T22" s="582">
        <f t="shared" si="10"/>
        <v>99669581.197566569</v>
      </c>
      <c r="U22" s="593" t="s">
        <v>47</v>
      </c>
      <c r="V22" s="588">
        <f t="shared" si="24"/>
        <v>88867150.804389328</v>
      </c>
      <c r="W22" s="588">
        <f t="shared" si="25"/>
        <v>1168077541.8579221</v>
      </c>
    </row>
    <row r="23" spans="1:46" ht="15.75" thickBot="1" x14ac:dyDescent="0.3">
      <c r="B23" s="93" t="s">
        <v>63</v>
      </c>
      <c r="C23" s="93">
        <f>C21*E21+C22*E22</f>
        <v>0.8620379344968282</v>
      </c>
      <c r="D23" s="88">
        <f>SUM(D21:D22)</f>
        <v>172.297</v>
      </c>
      <c r="E23" s="91">
        <f>SUM(E21:E22)</f>
        <v>1</v>
      </c>
      <c r="F23" s="1"/>
      <c r="G23" s="1"/>
      <c r="H23" s="1"/>
      <c r="I23" s="1"/>
      <c r="J23" s="165"/>
      <c r="K23" s="166"/>
      <c r="L23" s="167"/>
      <c r="M23" s="66"/>
      <c r="N23" s="168"/>
      <c r="O23" s="169"/>
      <c r="P23" s="169"/>
      <c r="Q23" s="169"/>
      <c r="R23" s="169"/>
      <c r="S23" s="169"/>
      <c r="T23" s="169"/>
      <c r="U23" s="170"/>
      <c r="V23" s="172"/>
      <c r="W23" s="172"/>
    </row>
    <row r="24" spans="1:46" ht="15.75" thickBot="1" x14ac:dyDescent="0.3">
      <c r="A24" s="1"/>
      <c r="B24" s="171"/>
      <c r="C24" s="171"/>
      <c r="D24" s="161"/>
      <c r="E24" s="164"/>
      <c r="F24" s="1"/>
      <c r="G24" s="1"/>
      <c r="H24" s="1"/>
      <c r="I24" s="1"/>
      <c r="J24" s="165"/>
      <c r="K24" s="166"/>
      <c r="L24" s="167"/>
      <c r="M24" s="66"/>
      <c r="N24" s="168"/>
      <c r="O24" s="169"/>
      <c r="P24" s="169"/>
      <c r="Q24" s="169"/>
      <c r="R24" s="169"/>
      <c r="S24" s="169"/>
      <c r="T24" s="169"/>
      <c r="U24" s="170"/>
      <c r="V24" s="172"/>
      <c r="W24" s="172"/>
      <c r="AJ24" s="213">
        <v>0.1</v>
      </c>
      <c r="AK24" s="213">
        <v>0.05</v>
      </c>
    </row>
    <row r="25" spans="1:46" ht="15.75" customHeight="1" thickBot="1" x14ac:dyDescent="0.3">
      <c r="A25" s="1"/>
      <c r="B25" s="100" t="s">
        <v>16</v>
      </c>
      <c r="C25" s="10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Y25" s="761" t="s">
        <v>7</v>
      </c>
      <c r="Z25" s="732" t="s">
        <v>227</v>
      </c>
      <c r="AA25" s="738" t="s">
        <v>228</v>
      </c>
      <c r="AB25" s="409" t="s">
        <v>229</v>
      </c>
      <c r="AC25" s="861" t="s">
        <v>185</v>
      </c>
      <c r="AD25" s="482" t="s">
        <v>230</v>
      </c>
      <c r="AE25" s="417" t="s">
        <v>231</v>
      </c>
      <c r="AF25" s="738" t="s">
        <v>136</v>
      </c>
      <c r="AG25" s="736"/>
      <c r="AH25" s="734"/>
      <c r="AI25" s="732" t="s">
        <v>232</v>
      </c>
      <c r="AJ25" s="732" t="s">
        <v>233</v>
      </c>
      <c r="AK25" s="732" t="s">
        <v>234</v>
      </c>
      <c r="AL25" s="732" t="s">
        <v>235</v>
      </c>
      <c r="AM25" s="732" t="s">
        <v>236</v>
      </c>
      <c r="AN25" s="732" t="s">
        <v>237</v>
      </c>
      <c r="AO25" s="405" t="s">
        <v>155</v>
      </c>
      <c r="AP25" s="405" t="s">
        <v>156</v>
      </c>
      <c r="AQ25" s="407"/>
      <c r="AR25" s="407"/>
      <c r="AS25" s="407"/>
      <c r="AT25" s="408"/>
    </row>
    <row r="26" spans="1:46" ht="24.75" thickBot="1" x14ac:dyDescent="0.3">
      <c r="A26" s="1"/>
      <c r="B26" s="32" t="s">
        <v>15</v>
      </c>
      <c r="C26" s="33">
        <v>119.99</v>
      </c>
      <c r="D26" s="1"/>
      <c r="E26" s="763" t="s">
        <v>17</v>
      </c>
      <c r="F26" s="764"/>
      <c r="G26" s="765"/>
      <c r="H26" s="472"/>
      <c r="I26" s="1"/>
      <c r="J26" s="752" t="s">
        <v>40</v>
      </c>
      <c r="K26" s="753"/>
      <c r="L26" s="1"/>
      <c r="M26" s="1"/>
      <c r="N26" s="1"/>
      <c r="O26" s="1"/>
      <c r="P26" s="1"/>
      <c r="Q26" s="1"/>
      <c r="R26" s="31"/>
      <c r="S26" s="31"/>
      <c r="T26" s="1"/>
      <c r="U26" s="1"/>
      <c r="V26" s="1"/>
      <c r="Y26" s="762"/>
      <c r="Z26" s="733"/>
      <c r="AA26" s="739"/>
      <c r="AB26" s="481">
        <v>0.13</v>
      </c>
      <c r="AC26" s="862"/>
      <c r="AD26" s="483">
        <v>0.13</v>
      </c>
      <c r="AE26" s="483">
        <v>0.13</v>
      </c>
      <c r="AF26" s="412" t="s">
        <v>184</v>
      </c>
      <c r="AG26" s="414" t="s">
        <v>183</v>
      </c>
      <c r="AH26" s="735"/>
      <c r="AI26" s="733"/>
      <c r="AJ26" s="733"/>
      <c r="AK26" s="733"/>
      <c r="AL26" s="733"/>
      <c r="AM26" s="733"/>
      <c r="AN26" s="733"/>
      <c r="AO26" s="406"/>
      <c r="AP26" s="406"/>
      <c r="AQ26" s="291" t="s">
        <v>148</v>
      </c>
      <c r="AR26" s="262" t="s">
        <v>149</v>
      </c>
      <c r="AS26" s="265"/>
      <c r="AT26" s="415" t="s">
        <v>152</v>
      </c>
    </row>
    <row r="27" spans="1:46" ht="15.75" thickBot="1" x14ac:dyDescent="0.3">
      <c r="A27" s="1"/>
      <c r="B27" s="34" t="s">
        <v>44</v>
      </c>
      <c r="C27" s="35">
        <f>M36*(1+K27)*(1+K28)</f>
        <v>27572.766798148568</v>
      </c>
      <c r="D27" s="1"/>
      <c r="E27" s="79" t="s">
        <v>7</v>
      </c>
      <c r="F27" s="80" t="s">
        <v>20</v>
      </c>
      <c r="G27" s="81" t="s">
        <v>18</v>
      </c>
      <c r="H27" s="163"/>
      <c r="I27" s="1"/>
      <c r="J27" s="56">
        <v>2016</v>
      </c>
      <c r="K27" s="58">
        <v>2.07E-2</v>
      </c>
      <c r="L27" s="1"/>
      <c r="M27" s="1"/>
      <c r="N27" s="1"/>
      <c r="O27" s="1"/>
      <c r="P27" s="1"/>
      <c r="Q27" s="1"/>
      <c r="R27" s="1"/>
      <c r="S27" s="1"/>
      <c r="T27" s="752" t="s">
        <v>278</v>
      </c>
      <c r="U27" s="753"/>
      <c r="V27" s="1"/>
      <c r="Y27" s="484">
        <v>0</v>
      </c>
      <c r="Z27" s="485"/>
      <c r="AA27" s="486"/>
      <c r="AB27" s="487"/>
      <c r="AC27" s="488"/>
      <c r="AD27" s="489">
        <f>-V5*$AD$26</f>
        <v>26203277.392947875</v>
      </c>
      <c r="AE27" s="488"/>
      <c r="AF27" s="486"/>
      <c r="AG27" s="490"/>
      <c r="AH27" s="487"/>
      <c r="AI27" s="501"/>
      <c r="AJ27" s="485"/>
      <c r="AK27" s="485"/>
      <c r="AL27" s="485"/>
      <c r="AM27" s="485"/>
      <c r="AN27" s="485">
        <f>V5</f>
        <v>-201563672.25344518</v>
      </c>
      <c r="AO27" s="275">
        <f>AL27+AM27-AN27</f>
        <v>201563672.25344518</v>
      </c>
      <c r="AP27" s="275">
        <f>AO27</f>
        <v>201563672.25344518</v>
      </c>
      <c r="AQ27" s="292"/>
      <c r="AR27" s="161"/>
      <c r="AS27" s="266">
        <f>IF(AR27&gt;0,1,0)</f>
        <v>0</v>
      </c>
      <c r="AT27" s="275">
        <f>MIN(AQ27:AR27)*AS27*$T$65</f>
        <v>0</v>
      </c>
    </row>
    <row r="28" spans="1:46" ht="15.75" thickBot="1" x14ac:dyDescent="0.3">
      <c r="A28" s="1"/>
      <c r="B28" s="34" t="s">
        <v>45</v>
      </c>
      <c r="C28" s="38">
        <f>O36*(1+K27)*(1+K28)</f>
        <v>4.9419368122673299</v>
      </c>
      <c r="D28" s="1"/>
      <c r="E28" s="103">
        <v>2019</v>
      </c>
      <c r="F28" s="109">
        <v>8.66</v>
      </c>
      <c r="G28" s="475">
        <f t="shared" ref="G28:G44" si="27">F28*$E$14</f>
        <v>8.2080952199999994E-6</v>
      </c>
      <c r="H28" s="473"/>
      <c r="I28" s="1"/>
      <c r="J28" s="57">
        <v>2017</v>
      </c>
      <c r="K28" s="55">
        <v>2.1100000000000001E-2</v>
      </c>
      <c r="L28" s="1"/>
      <c r="M28" s="1"/>
      <c r="N28" s="1"/>
      <c r="O28" s="1"/>
      <c r="P28" s="1"/>
      <c r="Q28" s="1"/>
      <c r="R28" s="1"/>
      <c r="S28" s="1"/>
      <c r="T28" s="32" t="s">
        <v>48</v>
      </c>
      <c r="U28" s="73">
        <v>0.12</v>
      </c>
      <c r="V28" s="1"/>
      <c r="Y28" s="484">
        <v>1</v>
      </c>
      <c r="Z28" s="485">
        <f t="shared" ref="Z28:Z44" si="28">V6</f>
        <v>72947284.805418268</v>
      </c>
      <c r="AA28" s="502">
        <f>'Análisis Finan ISCC Nuevo'!I13</f>
        <v>21571468.287497222</v>
      </c>
      <c r="AB28" s="487">
        <f>'Análisis Finan ISCC Nuevo'!G13*'Análisis Econ ISCC Nuevo'!$AB$26</f>
        <v>773520.74863982131</v>
      </c>
      <c r="AC28" s="491">
        <f>Z28-AA28-AB28</f>
        <v>50602295.769281223</v>
      </c>
      <c r="AD28" s="491">
        <f>(R6+S6+T6)*$AD$26-V5*$AD$26+AB28</f>
        <v>38908666.336173758</v>
      </c>
      <c r="AE28" s="489">
        <f t="shared" ref="AE28:AE44" si="29">(O6+P6)*$AE$26</f>
        <v>21401483.856479239</v>
      </c>
      <c r="AF28" s="486">
        <f>V62+V63</f>
        <v>42907332.494678259</v>
      </c>
      <c r="AG28" s="490">
        <f>V64</f>
        <v>2083501.0816414305</v>
      </c>
      <c r="AH28" s="487"/>
      <c r="AI28" s="492">
        <f>AE28-AD28</f>
        <v>-17507182.479694519</v>
      </c>
      <c r="AJ28" s="485">
        <f t="shared" ref="AJ28:AJ44" si="30">V6*$AJ$24</f>
        <v>7294728.4805418272</v>
      </c>
      <c r="AK28" s="485">
        <f t="shared" ref="AK28:AK44" si="31">V6*$AK$24</f>
        <v>3647364.2402709136</v>
      </c>
      <c r="AL28" s="485">
        <f>AC28-AJ28-AK28</f>
        <v>39660203.048468485</v>
      </c>
      <c r="AM28" s="485">
        <f>AC28-AF28-AG28-AJ28-AK28</f>
        <v>-5330630.5278512063</v>
      </c>
      <c r="AN28" s="485">
        <f>AN27+AM28</f>
        <v>-206894302.78129637</v>
      </c>
      <c r="AO28" s="275">
        <f t="shared" ref="AO28:AO44" si="32">AL28+AM28+AN28</f>
        <v>-172564730.2606791</v>
      </c>
      <c r="AP28" s="275">
        <f t="shared" ref="AP28:AP44" si="33">AP27+AO28</f>
        <v>28998941.992766082</v>
      </c>
      <c r="AQ28" s="242">
        <f t="shared" ref="AQ28:AQ44" si="34">AJ28</f>
        <v>7294728.4805418272</v>
      </c>
      <c r="AR28" s="243">
        <f t="shared" ref="AR28:AR44" si="35">AQ28+AR27</f>
        <v>7294728.4805418272</v>
      </c>
      <c r="AS28" s="266">
        <f t="shared" ref="AS28:AS44" si="36">IF(AR28&gt;0,1,0)</f>
        <v>1</v>
      </c>
      <c r="AT28" s="275">
        <f t="shared" ref="AT28:AT44" si="37">MIN(AQ28:AR28)*AS28*$T$65</f>
        <v>2188418.5441625481</v>
      </c>
    </row>
    <row r="29" spans="1:46" x14ac:dyDescent="0.25">
      <c r="A29" s="1"/>
      <c r="B29" s="34" t="s">
        <v>50</v>
      </c>
      <c r="C29" s="38">
        <f>K36*(1+K27)*(1+K28)</f>
        <v>1169.8617634285285</v>
      </c>
      <c r="D29" s="1"/>
      <c r="E29" s="43">
        <v>2020</v>
      </c>
      <c r="F29" s="36">
        <v>9.1999999999999993</v>
      </c>
      <c r="G29" s="476">
        <f t="shared" si="27"/>
        <v>8.7199163999999995E-6</v>
      </c>
      <c r="H29" s="474"/>
      <c r="I29" s="1"/>
      <c r="J29" s="59"/>
      <c r="K29" s="60"/>
      <c r="L29" s="1"/>
      <c r="M29" s="1"/>
      <c r="N29" s="1"/>
      <c r="O29" s="1"/>
      <c r="P29" s="1"/>
      <c r="Q29" s="1"/>
      <c r="R29" s="1"/>
      <c r="S29" s="1"/>
      <c r="T29" s="34" t="s">
        <v>22</v>
      </c>
      <c r="U29" s="35">
        <v>17</v>
      </c>
      <c r="V29" s="1"/>
      <c r="Y29" s="484">
        <v>2</v>
      </c>
      <c r="Z29" s="485">
        <f t="shared" si="28"/>
        <v>73776487.39382486</v>
      </c>
      <c r="AA29" s="502">
        <f>'Análisis Finan ISCC Nuevo'!I14</f>
        <v>21571468.287497222</v>
      </c>
      <c r="AB29" s="487">
        <f>'Análisis Finan ISCC Nuevo'!G14*'Análisis Econ ISCC Nuevo'!$AB$26</f>
        <v>706911.48841731937</v>
      </c>
      <c r="AC29" s="491">
        <f t="shared" ref="AC29:AC44" si="38">Z29-AA29-AB29</f>
        <v>51498107.617910318</v>
      </c>
      <c r="AD29" s="491">
        <f t="shared" ref="AD29:AD44" si="39">(R7+S7+T7)*$AD$26-AB29</f>
        <v>11769708.341397328</v>
      </c>
      <c r="AE29" s="489">
        <f t="shared" si="29"/>
        <v>22054099.485014737</v>
      </c>
      <c r="AF29" s="486">
        <f>V62</f>
        <v>29246579.531484582</v>
      </c>
      <c r="AG29" s="490">
        <f t="shared" ref="AF29:AG44" si="40">AG28</f>
        <v>2083501.0816414305</v>
      </c>
      <c r="AH29" s="487"/>
      <c r="AI29" s="492">
        <f t="shared" ref="AI29:AI44" si="41">AE29-AD29</f>
        <v>10284391.143617408</v>
      </c>
      <c r="AJ29" s="485">
        <f t="shared" si="30"/>
        <v>7377648.7393824868</v>
      </c>
      <c r="AK29" s="485">
        <f t="shared" si="31"/>
        <v>3688824.3696912434</v>
      </c>
      <c r="AL29" s="485">
        <f t="shared" ref="AL29:AL44" si="42">AC29-AJ29-AK29</f>
        <v>40431634.50883659</v>
      </c>
      <c r="AM29" s="485">
        <f t="shared" ref="AM29:AM44" si="43">AC29-AF29-AG29-AJ29-AK29</f>
        <v>9101553.8957105745</v>
      </c>
      <c r="AN29" s="485">
        <f t="shared" ref="AN29:AN44" si="44">AN28+AM29</f>
        <v>-197792748.88558578</v>
      </c>
      <c r="AO29" s="275">
        <f t="shared" si="32"/>
        <v>-148259560.48103863</v>
      </c>
      <c r="AP29" s="275">
        <f t="shared" si="33"/>
        <v>-119260618.48827255</v>
      </c>
      <c r="AQ29" s="242">
        <f t="shared" si="34"/>
        <v>7377648.7393824868</v>
      </c>
      <c r="AR29" s="243">
        <f t="shared" si="35"/>
        <v>14672377.219924314</v>
      </c>
      <c r="AS29" s="266">
        <f t="shared" si="36"/>
        <v>1</v>
      </c>
      <c r="AT29" s="275">
        <f t="shared" si="37"/>
        <v>2213294.6218147459</v>
      </c>
    </row>
    <row r="30" spans="1:46" x14ac:dyDescent="0.25">
      <c r="A30" s="1"/>
      <c r="B30" s="544" t="s">
        <v>118</v>
      </c>
      <c r="C30" s="35">
        <v>7.8</v>
      </c>
      <c r="D30" s="1"/>
      <c r="E30" s="43">
        <v>2021</v>
      </c>
      <c r="F30" s="36">
        <v>9.61</v>
      </c>
      <c r="G30" s="476">
        <f t="shared" si="27"/>
        <v>9.1085213699999987E-6</v>
      </c>
      <c r="H30" s="47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4" t="s">
        <v>275</v>
      </c>
      <c r="U30" s="74">
        <f>NPV(U28,V6:V22)</f>
        <v>555564598.14417124</v>
      </c>
      <c r="V30" s="1"/>
      <c r="Y30" s="484">
        <v>3</v>
      </c>
      <c r="Z30" s="485">
        <f t="shared" si="28"/>
        <v>74646504.946415797</v>
      </c>
      <c r="AA30" s="502">
        <f>'Análisis Finan ISCC Nuevo'!I15</f>
        <v>21571468.287497222</v>
      </c>
      <c r="AB30" s="487">
        <f>'Análisis Finan ISCC Nuevo'!G15*'Análisis Econ ISCC Nuevo'!$AB$26</f>
        <v>638117.44445951923</v>
      </c>
      <c r="AC30" s="491">
        <f t="shared" si="38"/>
        <v>52436919.214459054</v>
      </c>
      <c r="AD30" s="491">
        <f t="shared" si="39"/>
        <v>12238426.019834971</v>
      </c>
      <c r="AE30" s="489">
        <f t="shared" si="29"/>
        <v>22567192.719861384</v>
      </c>
      <c r="AF30" s="486">
        <f t="shared" si="40"/>
        <v>29246579.531484582</v>
      </c>
      <c r="AG30" s="490">
        <f t="shared" si="40"/>
        <v>2083501.0816414305</v>
      </c>
      <c r="AH30" s="487"/>
      <c r="AI30" s="492">
        <f t="shared" si="41"/>
        <v>10328766.700026413</v>
      </c>
      <c r="AJ30" s="485">
        <f t="shared" si="30"/>
        <v>7464650.4946415797</v>
      </c>
      <c r="AK30" s="485">
        <f t="shared" si="31"/>
        <v>3732325.2473207898</v>
      </c>
      <c r="AL30" s="485">
        <f t="shared" si="42"/>
        <v>41239943.472496688</v>
      </c>
      <c r="AM30" s="485">
        <f t="shared" si="43"/>
        <v>9909862.8593706712</v>
      </c>
      <c r="AN30" s="485">
        <f t="shared" si="44"/>
        <v>-187882886.02621511</v>
      </c>
      <c r="AO30" s="275">
        <f t="shared" si="32"/>
        <v>-136733079.69434774</v>
      </c>
      <c r="AP30" s="275">
        <f t="shared" si="33"/>
        <v>-255993698.18262029</v>
      </c>
      <c r="AQ30" s="242">
        <f t="shared" si="34"/>
        <v>7464650.4946415797</v>
      </c>
      <c r="AR30" s="243">
        <f t="shared" si="35"/>
        <v>22137027.714565895</v>
      </c>
      <c r="AS30" s="266">
        <f t="shared" si="36"/>
        <v>1</v>
      </c>
      <c r="AT30" s="275">
        <f t="shared" si="37"/>
        <v>2239395.1483924738</v>
      </c>
    </row>
    <row r="31" spans="1:46" ht="15.75" thickBot="1" x14ac:dyDescent="0.3">
      <c r="A31" s="1"/>
      <c r="B31" s="39" t="s">
        <v>269</v>
      </c>
      <c r="C31" s="42">
        <v>4</v>
      </c>
      <c r="D31" s="1"/>
      <c r="E31" s="43">
        <v>2022</v>
      </c>
      <c r="F31" s="36">
        <v>9.93</v>
      </c>
      <c r="G31" s="476">
        <f t="shared" si="27"/>
        <v>9.4118228099999998E-6</v>
      </c>
      <c r="H31" s="47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4" t="s">
        <v>49</v>
      </c>
      <c r="U31" s="74">
        <f>NPV(U28,V6:V22)+V5</f>
        <v>354000925.89072609</v>
      </c>
      <c r="V31" s="1"/>
      <c r="Y31" s="484">
        <v>4</v>
      </c>
      <c r="Z31" s="485">
        <f t="shared" si="28"/>
        <v>75549998.485555246</v>
      </c>
      <c r="AA31" s="502">
        <f>'Análisis Finan ISCC Nuevo'!I16</f>
        <v>21571468.287497222</v>
      </c>
      <c r="AB31" s="487">
        <f>'Análisis Finan ISCC Nuevo'!G16*'Análisis Econ ISCC Nuevo'!$AB$26</f>
        <v>567066.95585990325</v>
      </c>
      <c r="AC31" s="491">
        <f t="shared" si="38"/>
        <v>53411463.242198125</v>
      </c>
      <c r="AD31" s="491">
        <f t="shared" si="39"/>
        <v>12609268.546728455</v>
      </c>
      <c r="AE31" s="489">
        <f t="shared" si="29"/>
        <v>22984505.900180716</v>
      </c>
      <c r="AF31" s="486">
        <f t="shared" si="40"/>
        <v>29246579.531484582</v>
      </c>
      <c r="AG31" s="490">
        <f t="shared" si="40"/>
        <v>2083501.0816414305</v>
      </c>
      <c r="AH31" s="487"/>
      <c r="AI31" s="492">
        <f t="shared" si="41"/>
        <v>10375237.353452262</v>
      </c>
      <c r="AJ31" s="485">
        <f t="shared" si="30"/>
        <v>7554999.8485555248</v>
      </c>
      <c r="AK31" s="485">
        <f t="shared" si="31"/>
        <v>3777499.9242777624</v>
      </c>
      <c r="AL31" s="485">
        <f t="shared" si="42"/>
        <v>42078963.469364837</v>
      </c>
      <c r="AM31" s="485">
        <f t="shared" si="43"/>
        <v>10748882.856238825</v>
      </c>
      <c r="AN31" s="485">
        <f t="shared" si="44"/>
        <v>-177134003.16997629</v>
      </c>
      <c r="AO31" s="275">
        <f t="shared" si="32"/>
        <v>-124306156.84437263</v>
      </c>
      <c r="AP31" s="275">
        <f t="shared" si="33"/>
        <v>-380299855.02699292</v>
      </c>
      <c r="AQ31" s="242">
        <f t="shared" si="34"/>
        <v>7554999.8485555248</v>
      </c>
      <c r="AR31" s="243">
        <f t="shared" si="35"/>
        <v>29692027.563121419</v>
      </c>
      <c r="AS31" s="266">
        <f t="shared" si="36"/>
        <v>1</v>
      </c>
      <c r="AT31" s="275">
        <f t="shared" si="37"/>
        <v>2266499.9545666575</v>
      </c>
    </row>
    <row r="32" spans="1:46" ht="15.75" thickBot="1" x14ac:dyDescent="0.3">
      <c r="C32" s="1"/>
      <c r="D32" s="1"/>
      <c r="E32" s="43">
        <v>2023</v>
      </c>
      <c r="F32" s="36">
        <v>10.119999999999999</v>
      </c>
      <c r="G32" s="476">
        <f t="shared" si="27"/>
        <v>9.59190804E-6</v>
      </c>
      <c r="H32" s="474"/>
      <c r="I32" s="1"/>
      <c r="J32" s="752" t="s">
        <v>33</v>
      </c>
      <c r="K32" s="753"/>
      <c r="L32" s="752" t="s">
        <v>34</v>
      </c>
      <c r="M32" s="753"/>
      <c r="N32" s="752" t="s">
        <v>37</v>
      </c>
      <c r="O32" s="753"/>
      <c r="P32" s="163"/>
      <c r="Q32" s="163"/>
      <c r="R32" s="1"/>
      <c r="S32" s="1"/>
      <c r="T32" s="34" t="s">
        <v>51</v>
      </c>
      <c r="U32" s="74">
        <f>-PMT(U28,U29,U31)</f>
        <v>49721811.585109808</v>
      </c>
      <c r="V32" s="1"/>
      <c r="Y32" s="484">
        <v>5</v>
      </c>
      <c r="Z32" s="485">
        <f t="shared" si="28"/>
        <v>76502641.579063445</v>
      </c>
      <c r="AA32" s="502">
        <f>'Análisis Finan ISCC Nuevo'!I17</f>
        <v>21571468.287497222</v>
      </c>
      <c r="AB32" s="487">
        <f>'Análisis Finan ISCC Nuevo'!G17*'Análisis Econ ISCC Nuevo'!$AB$26</f>
        <v>493686.01123421994</v>
      </c>
      <c r="AC32" s="491">
        <f t="shared" si="38"/>
        <v>54437487.280332007</v>
      </c>
      <c r="AD32" s="491">
        <f t="shared" si="39"/>
        <v>12840306.737806713</v>
      </c>
      <c r="AE32" s="489">
        <f t="shared" si="29"/>
        <v>23266073.395817008</v>
      </c>
      <c r="AF32" s="486">
        <f t="shared" si="40"/>
        <v>29246579.531484582</v>
      </c>
      <c r="AG32" s="490">
        <f t="shared" si="40"/>
        <v>2083501.0816414305</v>
      </c>
      <c r="AH32" s="487"/>
      <c r="AI32" s="492">
        <f t="shared" si="41"/>
        <v>10425766.658010295</v>
      </c>
      <c r="AJ32" s="485">
        <f t="shared" si="30"/>
        <v>7650264.1579063451</v>
      </c>
      <c r="AK32" s="485">
        <f t="shared" si="31"/>
        <v>3825132.0789531725</v>
      </c>
      <c r="AL32" s="485">
        <f t="shared" si="42"/>
        <v>42962091.043472491</v>
      </c>
      <c r="AM32" s="485">
        <f t="shared" si="43"/>
        <v>11632010.430346474</v>
      </c>
      <c r="AN32" s="485">
        <f t="shared" si="44"/>
        <v>-165501992.73962981</v>
      </c>
      <c r="AO32" s="275">
        <f t="shared" si="32"/>
        <v>-110907891.26581085</v>
      </c>
      <c r="AP32" s="275">
        <f t="shared" si="33"/>
        <v>-491207746.29280376</v>
      </c>
      <c r="AQ32" s="242">
        <f t="shared" si="34"/>
        <v>7650264.1579063451</v>
      </c>
      <c r="AR32" s="243">
        <f t="shared" si="35"/>
        <v>37342291.721027762</v>
      </c>
      <c r="AS32" s="266">
        <f t="shared" si="36"/>
        <v>1</v>
      </c>
      <c r="AT32" s="275">
        <f t="shared" si="37"/>
        <v>2295079.2473719036</v>
      </c>
    </row>
    <row r="33" spans="1:46" ht="15.75" thickBot="1" x14ac:dyDescent="0.3">
      <c r="A33" s="77" t="s">
        <v>7</v>
      </c>
      <c r="B33" s="78" t="s">
        <v>39</v>
      </c>
      <c r="C33" s="37"/>
      <c r="D33" s="1"/>
      <c r="E33" s="43">
        <v>2024</v>
      </c>
      <c r="F33" s="36">
        <v>10.3</v>
      </c>
      <c r="G33" s="476">
        <f t="shared" si="27"/>
        <v>9.7625151000000011E-6</v>
      </c>
      <c r="H33" s="474"/>
      <c r="I33" s="1"/>
      <c r="J33" s="32" t="s">
        <v>28</v>
      </c>
      <c r="K33" s="33">
        <v>299.10000000000002</v>
      </c>
      <c r="L33" s="32" t="s">
        <v>28</v>
      </c>
      <c r="M33" s="33">
        <v>299.10000000000002</v>
      </c>
      <c r="N33" s="32" t="s">
        <v>28</v>
      </c>
      <c r="O33" s="33">
        <v>299.10000000000002</v>
      </c>
      <c r="P33" s="161"/>
      <c r="Q33" s="161"/>
      <c r="R33" s="1"/>
      <c r="S33" s="1"/>
      <c r="T33" s="34" t="s">
        <v>52</v>
      </c>
      <c r="U33" s="75">
        <f>NPV(U28,V6:V22)/-V5</f>
        <v>2.7562734491441843</v>
      </c>
      <c r="V33" s="1"/>
      <c r="Y33" s="484">
        <v>6</v>
      </c>
      <c r="Z33" s="485">
        <f t="shared" si="28"/>
        <v>77470392.344608337</v>
      </c>
      <c r="AA33" s="502">
        <f>'Análisis Finan ISCC Nuevo'!I18</f>
        <v>21571468.287497222</v>
      </c>
      <c r="AB33" s="487">
        <f>'Análisis Finan ISCC Nuevo'!G18*'Análisis Econ ISCC Nuevo'!$AB$26</f>
        <v>417898.17162481416</v>
      </c>
      <c r="AC33" s="491">
        <f t="shared" si="38"/>
        <v>55481025.885486297</v>
      </c>
      <c r="AD33" s="491">
        <f t="shared" si="39"/>
        <v>13061772.797582157</v>
      </c>
      <c r="AE33" s="489">
        <f t="shared" si="29"/>
        <v>23537625.529296398</v>
      </c>
      <c r="AF33" s="486">
        <v>0</v>
      </c>
      <c r="AG33" s="490">
        <f t="shared" si="40"/>
        <v>2083501.0816414305</v>
      </c>
      <c r="AH33" s="487"/>
      <c r="AI33" s="492">
        <f t="shared" si="41"/>
        <v>10475852.731714241</v>
      </c>
      <c r="AJ33" s="485">
        <f t="shared" si="30"/>
        <v>7747039.2344608344</v>
      </c>
      <c r="AK33" s="485">
        <f t="shared" si="31"/>
        <v>3873519.6172304172</v>
      </c>
      <c r="AL33" s="485">
        <f t="shared" si="42"/>
        <v>43860467.033795044</v>
      </c>
      <c r="AM33" s="485">
        <f t="shared" si="43"/>
        <v>41776965.952153623</v>
      </c>
      <c r="AN33" s="485">
        <f t="shared" si="44"/>
        <v>-123725026.78747618</v>
      </c>
      <c r="AO33" s="275">
        <f t="shared" si="32"/>
        <v>-38087593.801527515</v>
      </c>
      <c r="AP33" s="275">
        <f t="shared" si="33"/>
        <v>-529295340.09433126</v>
      </c>
      <c r="AQ33" s="242">
        <f t="shared" si="34"/>
        <v>7747039.2344608344</v>
      </c>
      <c r="AR33" s="243">
        <f t="shared" si="35"/>
        <v>45089330.955488592</v>
      </c>
      <c r="AS33" s="266">
        <f t="shared" si="36"/>
        <v>1</v>
      </c>
      <c r="AT33" s="275">
        <f t="shared" si="37"/>
        <v>2324111.7703382503</v>
      </c>
    </row>
    <row r="34" spans="1:46" x14ac:dyDescent="0.25">
      <c r="A34" s="103">
        <v>2019</v>
      </c>
      <c r="B34" s="113">
        <v>119.98873905687127</v>
      </c>
      <c r="C34" s="1"/>
      <c r="D34" s="1"/>
      <c r="E34" s="43">
        <v>2025</v>
      </c>
      <c r="F34" s="36">
        <v>10.61</v>
      </c>
      <c r="G34" s="476">
        <f t="shared" si="27"/>
        <v>1.005633837E-5</v>
      </c>
      <c r="H34" s="474"/>
      <c r="I34" s="1"/>
      <c r="J34" s="34" t="s">
        <v>29</v>
      </c>
      <c r="K34" s="35">
        <f>E4</f>
        <v>172.297</v>
      </c>
      <c r="L34" s="34" t="s">
        <v>29</v>
      </c>
      <c r="M34" s="35">
        <f>E4</f>
        <v>172.297</v>
      </c>
      <c r="N34" s="34" t="s">
        <v>29</v>
      </c>
      <c r="O34" s="35">
        <f>E4</f>
        <v>172.297</v>
      </c>
      <c r="P34" s="161"/>
      <c r="Q34" s="161"/>
      <c r="R34" s="1"/>
      <c r="S34" s="1"/>
      <c r="T34" s="34" t="s">
        <v>53</v>
      </c>
      <c r="U34" s="54">
        <f>IRR(V5:V22)</f>
        <v>0.37186416543416079</v>
      </c>
      <c r="V34" s="1"/>
      <c r="Y34" s="484">
        <v>7</v>
      </c>
      <c r="Z34" s="485">
        <f t="shared" si="28"/>
        <v>78407358.680043876</v>
      </c>
      <c r="AA34" s="502">
        <f>'Análisis Finan ISCC Nuevo'!I19</f>
        <v>21571468.287497222</v>
      </c>
      <c r="AB34" s="487">
        <f>'Análisis Finan ISCC Nuevo'!G19*'Análisis Econ ISCC Nuevo'!$AB$26</f>
        <v>339624.49087621988</v>
      </c>
      <c r="AC34" s="491">
        <f t="shared" si="38"/>
        <v>56496265.901670434</v>
      </c>
      <c r="AD34" s="491">
        <f t="shared" si="39"/>
        <v>13423455.863141144</v>
      </c>
      <c r="AE34" s="489">
        <f t="shared" si="29"/>
        <v>23942906.519936953</v>
      </c>
      <c r="AF34" s="486">
        <v>0</v>
      </c>
      <c r="AG34" s="490">
        <f t="shared" si="40"/>
        <v>2083501.0816414305</v>
      </c>
      <c r="AH34" s="487"/>
      <c r="AI34" s="492">
        <f t="shared" si="41"/>
        <v>10519450.656795809</v>
      </c>
      <c r="AJ34" s="485">
        <f t="shared" si="30"/>
        <v>7840735.8680043882</v>
      </c>
      <c r="AK34" s="485">
        <f t="shared" si="31"/>
        <v>3920367.9340021941</v>
      </c>
      <c r="AL34" s="485">
        <f t="shared" si="42"/>
        <v>44735162.099663854</v>
      </c>
      <c r="AM34" s="485">
        <f t="shared" si="43"/>
        <v>42651661.018022425</v>
      </c>
      <c r="AN34" s="485">
        <f t="shared" si="44"/>
        <v>-81073365.769453764</v>
      </c>
      <c r="AO34" s="275">
        <f t="shared" si="32"/>
        <v>6313457.3482325077</v>
      </c>
      <c r="AP34" s="275">
        <f t="shared" si="33"/>
        <v>-522981882.74609876</v>
      </c>
      <c r="AQ34" s="242">
        <f t="shared" si="34"/>
        <v>7840735.8680043882</v>
      </c>
      <c r="AR34" s="243">
        <f t="shared" si="35"/>
        <v>52930066.823492981</v>
      </c>
      <c r="AS34" s="266">
        <f t="shared" si="36"/>
        <v>1</v>
      </c>
      <c r="AT34" s="275">
        <f t="shared" si="37"/>
        <v>2352220.7604013165</v>
      </c>
    </row>
    <row r="35" spans="1:46" x14ac:dyDescent="0.25">
      <c r="A35" s="43">
        <v>2020</v>
      </c>
      <c r="B35" s="102">
        <v>124.65017002447068</v>
      </c>
      <c r="C35" s="1"/>
      <c r="D35" s="1"/>
      <c r="E35" s="43">
        <v>2026</v>
      </c>
      <c r="F35" s="36">
        <v>10.89</v>
      </c>
      <c r="G35" s="476">
        <f t="shared" si="27"/>
        <v>1.032172713E-5</v>
      </c>
      <c r="H35" s="474"/>
      <c r="I35" s="1"/>
      <c r="J35" s="34" t="s">
        <v>30</v>
      </c>
      <c r="K35" s="35">
        <v>722</v>
      </c>
      <c r="L35" s="34" t="s">
        <v>35</v>
      </c>
      <c r="M35" s="35">
        <v>17017</v>
      </c>
      <c r="N35" s="34" t="s">
        <v>38</v>
      </c>
      <c r="O35" s="35">
        <v>3.05</v>
      </c>
      <c r="P35" s="161"/>
      <c r="Q35" s="161"/>
      <c r="R35" s="1"/>
      <c r="S35" s="1"/>
      <c r="T35" s="34" t="s">
        <v>54</v>
      </c>
      <c r="U35" s="54">
        <f>MIRR(V5:V22,U34,U28)</f>
        <v>0.188828846465811</v>
      </c>
      <c r="V35" s="1"/>
      <c r="Y35" s="484">
        <v>8</v>
      </c>
      <c r="Z35" s="485">
        <f t="shared" si="28"/>
        <v>79364459.315035969</v>
      </c>
      <c r="AA35" s="502">
        <f>'Análisis Finan ISCC Nuevo'!I20</f>
        <v>21571468.287497222</v>
      </c>
      <c r="AB35" s="487">
        <f>'Análisis Finan ISCC Nuevo'!G20*'Análisis Econ ISCC Nuevo'!$AB$26</f>
        <v>258783.43339907171</v>
      </c>
      <c r="AC35" s="491">
        <f t="shared" si="38"/>
        <v>57534207.594139673</v>
      </c>
      <c r="AD35" s="491">
        <f t="shared" si="39"/>
        <v>13753621.325637095</v>
      </c>
      <c r="AE35" s="489">
        <f t="shared" si="29"/>
        <v>24316719.659817155</v>
      </c>
      <c r="AF35" s="486">
        <v>0</v>
      </c>
      <c r="AG35" s="490">
        <f t="shared" si="40"/>
        <v>2083501.0816414305</v>
      </c>
      <c r="AH35" s="487"/>
      <c r="AI35" s="492">
        <f t="shared" si="41"/>
        <v>10563098.334180061</v>
      </c>
      <c r="AJ35" s="485">
        <f t="shared" si="30"/>
        <v>7936445.9315035976</v>
      </c>
      <c r="AK35" s="485">
        <f t="shared" si="31"/>
        <v>3968222.9657517988</v>
      </c>
      <c r="AL35" s="485">
        <f t="shared" si="42"/>
        <v>45629538.696884274</v>
      </c>
      <c r="AM35" s="485">
        <f t="shared" si="43"/>
        <v>43546037.615242854</v>
      </c>
      <c r="AN35" s="485">
        <f t="shared" si="44"/>
        <v>-37527328.15421091</v>
      </c>
      <c r="AO35" s="275">
        <f t="shared" si="32"/>
        <v>51648248.157916218</v>
      </c>
      <c r="AP35" s="275">
        <f t="shared" si="33"/>
        <v>-471333634.58818257</v>
      </c>
      <c r="AQ35" s="242">
        <f t="shared" si="34"/>
        <v>7936445.9315035976</v>
      </c>
      <c r="AR35" s="243">
        <f t="shared" si="35"/>
        <v>60866512.754996583</v>
      </c>
      <c r="AS35" s="266">
        <f t="shared" si="36"/>
        <v>1</v>
      </c>
      <c r="AT35" s="275">
        <f t="shared" si="37"/>
        <v>2380933.7794510792</v>
      </c>
    </row>
    <row r="36" spans="1:46" ht="15.75" thickBot="1" x14ac:dyDescent="0.3">
      <c r="A36" s="43">
        <v>2021</v>
      </c>
      <c r="B36" s="102">
        <v>128.49466744767096</v>
      </c>
      <c r="C36" s="1"/>
      <c r="D36" s="1"/>
      <c r="E36" s="43">
        <v>2027</v>
      </c>
      <c r="F36" s="36">
        <v>11.07</v>
      </c>
      <c r="G36" s="476">
        <f t="shared" si="27"/>
        <v>1.0492334190000001E-5</v>
      </c>
      <c r="H36" s="474"/>
      <c r="I36" s="1"/>
      <c r="J36" s="34" t="s">
        <v>41</v>
      </c>
      <c r="K36" s="41">
        <f>K35/(K38^K37)</f>
        <v>1122.4529752759813</v>
      </c>
      <c r="L36" s="34" t="s">
        <v>42</v>
      </c>
      <c r="M36" s="41">
        <f>M35/(M38^M37)</f>
        <v>26455.377119489436</v>
      </c>
      <c r="N36" s="34" t="s">
        <v>43</v>
      </c>
      <c r="O36" s="41">
        <f>O35/(O38^O37)</f>
        <v>4.741664230736486</v>
      </c>
      <c r="P36" s="162"/>
      <c r="Q36" s="162"/>
      <c r="R36" s="1"/>
      <c r="S36" s="1"/>
      <c r="T36" s="39" t="s">
        <v>56</v>
      </c>
      <c r="U36" s="40">
        <f>2-W7/(-W7+W8)</f>
        <v>2.7346613226375207</v>
      </c>
      <c r="V36" s="1"/>
      <c r="Y36" s="484">
        <v>9</v>
      </c>
      <c r="Z36" s="485">
        <f t="shared" si="28"/>
        <v>80504028.539953083</v>
      </c>
      <c r="AA36" s="502">
        <f>'Análisis Finan ISCC Nuevo'!I21</f>
        <v>21571468.287497222</v>
      </c>
      <c r="AB36" s="487">
        <f>'Análisis Finan ISCC Nuevo'!G21*'Análisis Econ ISCC Nuevo'!$AB$26</f>
        <v>175290.78923667315</v>
      </c>
      <c r="AC36" s="491">
        <f t="shared" si="38"/>
        <v>58757269.463219188</v>
      </c>
      <c r="AD36" s="491">
        <f t="shared" si="39"/>
        <v>13978429.547515839</v>
      </c>
      <c r="AE36" s="489">
        <f t="shared" si="29"/>
        <v>24606244.560823601</v>
      </c>
      <c r="AF36" s="486">
        <v>0</v>
      </c>
      <c r="AG36" s="490">
        <f t="shared" si="40"/>
        <v>2083501.0816414305</v>
      </c>
      <c r="AH36" s="487"/>
      <c r="AI36" s="492">
        <f t="shared" si="41"/>
        <v>10627815.013307761</v>
      </c>
      <c r="AJ36" s="485">
        <f t="shared" si="30"/>
        <v>8050402.8539953083</v>
      </c>
      <c r="AK36" s="485">
        <f t="shared" si="31"/>
        <v>4025201.4269976541</v>
      </c>
      <c r="AL36" s="485">
        <f t="shared" si="42"/>
        <v>46681665.182226226</v>
      </c>
      <c r="AM36" s="485">
        <f t="shared" si="43"/>
        <v>44598164.100584798</v>
      </c>
      <c r="AN36" s="485">
        <f t="shared" si="44"/>
        <v>7070835.9463738874</v>
      </c>
      <c r="AO36" s="275">
        <f t="shared" si="32"/>
        <v>98350665.229184896</v>
      </c>
      <c r="AP36" s="275">
        <f t="shared" si="33"/>
        <v>-372982969.3589977</v>
      </c>
      <c r="AQ36" s="242">
        <f t="shared" si="34"/>
        <v>8050402.8539953083</v>
      </c>
      <c r="AR36" s="243">
        <f t="shared" si="35"/>
        <v>68916915.608991891</v>
      </c>
      <c r="AS36" s="266">
        <f t="shared" si="36"/>
        <v>1</v>
      </c>
      <c r="AT36" s="275">
        <f t="shared" si="37"/>
        <v>2415120.8561985926</v>
      </c>
    </row>
    <row r="37" spans="1:46" x14ac:dyDescent="0.25">
      <c r="A37" s="43">
        <v>2022</v>
      </c>
      <c r="B37" s="102">
        <v>131.78070881762031</v>
      </c>
      <c r="C37" s="1"/>
      <c r="D37" s="1"/>
      <c r="E37" s="43">
        <v>2028</v>
      </c>
      <c r="F37" s="36">
        <v>11.15</v>
      </c>
      <c r="G37" s="476">
        <f t="shared" si="27"/>
        <v>1.056815955E-5</v>
      </c>
      <c r="H37" s="474"/>
      <c r="I37" s="1"/>
      <c r="J37" s="34" t="s">
        <v>31</v>
      </c>
      <c r="K37" s="35">
        <v>0.8</v>
      </c>
      <c r="L37" s="34" t="s">
        <v>31</v>
      </c>
      <c r="M37" s="35">
        <v>0.8</v>
      </c>
      <c r="N37" s="34" t="s">
        <v>31</v>
      </c>
      <c r="O37" s="35">
        <v>0.8</v>
      </c>
      <c r="P37" s="161"/>
      <c r="Q37" s="161"/>
      <c r="R37" s="1"/>
      <c r="S37" s="1"/>
      <c r="T37" s="1"/>
      <c r="U37" s="1"/>
      <c r="V37" s="1"/>
      <c r="Y37" s="484">
        <v>10</v>
      </c>
      <c r="Z37" s="485">
        <f t="shared" si="28"/>
        <v>81420328.34183456</v>
      </c>
      <c r="AA37" s="502">
        <f>'Análisis Finan ISCC Nuevo'!I22</f>
        <v>21571468.287497222</v>
      </c>
      <c r="AB37" s="487">
        <f>'Análisis Finan ISCC Nuevo'!G22*'Análisis Econ ISCC Nuevo'!$AB$26</f>
        <v>89059.586345747841</v>
      </c>
      <c r="AC37" s="491">
        <f t="shared" si="38"/>
        <v>59759800.46799159</v>
      </c>
      <c r="AD37" s="491">
        <f t="shared" si="39"/>
        <v>14099094.248466419</v>
      </c>
      <c r="AE37" s="489">
        <f t="shared" si="29"/>
        <v>24759862.030558456</v>
      </c>
      <c r="AF37" s="486">
        <v>0</v>
      </c>
      <c r="AG37" s="490">
        <f t="shared" si="40"/>
        <v>2083501.0816414305</v>
      </c>
      <c r="AH37" s="487"/>
      <c r="AI37" s="492">
        <f t="shared" si="41"/>
        <v>10660767.782092037</v>
      </c>
      <c r="AJ37" s="485">
        <f t="shared" si="30"/>
        <v>8142032.8341834564</v>
      </c>
      <c r="AK37" s="485">
        <f t="shared" si="31"/>
        <v>4071016.4170917282</v>
      </c>
      <c r="AL37" s="485">
        <f t="shared" si="42"/>
        <v>47546751.216716409</v>
      </c>
      <c r="AM37" s="485">
        <f t="shared" si="43"/>
        <v>45463250.135074981</v>
      </c>
      <c r="AN37" s="485">
        <f t="shared" si="44"/>
        <v>52534086.081448868</v>
      </c>
      <c r="AO37" s="275">
        <f t="shared" si="32"/>
        <v>145544087.43324023</v>
      </c>
      <c r="AP37" s="275">
        <f t="shared" si="33"/>
        <v>-227438881.92575747</v>
      </c>
      <c r="AQ37" s="242">
        <f t="shared" si="34"/>
        <v>8142032.8341834564</v>
      </c>
      <c r="AR37" s="243">
        <f t="shared" si="35"/>
        <v>77058948.443175346</v>
      </c>
      <c r="AS37" s="266">
        <f t="shared" si="36"/>
        <v>1</v>
      </c>
      <c r="AT37" s="275">
        <f t="shared" si="37"/>
        <v>2442609.8502550367</v>
      </c>
    </row>
    <row r="38" spans="1:46" ht="15.75" thickBot="1" x14ac:dyDescent="0.3">
      <c r="A38" s="43">
        <v>2023</v>
      </c>
      <c r="B38" s="102">
        <v>134.25063598672887</v>
      </c>
      <c r="C38" s="1"/>
      <c r="D38" s="1"/>
      <c r="E38" s="43">
        <v>2029</v>
      </c>
      <c r="F38" s="36">
        <v>11.32</v>
      </c>
      <c r="G38" s="476">
        <f t="shared" si="27"/>
        <v>1.072928844E-5</v>
      </c>
      <c r="H38" s="474"/>
      <c r="I38" s="1"/>
      <c r="J38" s="39" t="s">
        <v>32</v>
      </c>
      <c r="K38" s="42">
        <f>K34/K33</f>
        <v>0.57605148779672344</v>
      </c>
      <c r="L38" s="39" t="s">
        <v>36</v>
      </c>
      <c r="M38" s="42">
        <f>M34/M33</f>
        <v>0.57605148779672344</v>
      </c>
      <c r="N38" s="39" t="s">
        <v>36</v>
      </c>
      <c r="O38" s="42">
        <f>O34/O33</f>
        <v>0.57605148779672344</v>
      </c>
      <c r="P38" s="161"/>
      <c r="Q38" s="161"/>
      <c r="R38" s="1"/>
      <c r="S38" s="1"/>
      <c r="T38" s="1"/>
      <c r="U38" s="1"/>
      <c r="V38" s="1"/>
      <c r="Y38" s="484">
        <v>11</v>
      </c>
      <c r="Z38" s="485">
        <f t="shared" si="28"/>
        <v>82454849.956753418</v>
      </c>
      <c r="AA38" s="502">
        <f>'Análisis Finan ISCC Nuevo'!I23</f>
        <v>0</v>
      </c>
      <c r="AB38" s="487">
        <f>'Análisis Finan ISCC Nuevo'!G23*'Análisis Econ ISCC Nuevo'!$AB$26</f>
        <v>0</v>
      </c>
      <c r="AC38" s="491">
        <f t="shared" si="38"/>
        <v>82454849.956753418</v>
      </c>
      <c r="AD38" s="491">
        <f t="shared" si="39"/>
        <v>14317006.450809753</v>
      </c>
      <c r="AE38" s="489">
        <f t="shared" si="29"/>
        <v>25023267.128938954</v>
      </c>
      <c r="AF38" s="486">
        <v>0</v>
      </c>
      <c r="AG38" s="490">
        <f t="shared" si="40"/>
        <v>2083501.0816414305</v>
      </c>
      <c r="AH38" s="487"/>
      <c r="AI38" s="492">
        <f t="shared" si="41"/>
        <v>10706260.678129202</v>
      </c>
      <c r="AJ38" s="485">
        <f t="shared" si="30"/>
        <v>8245484.9956753422</v>
      </c>
      <c r="AK38" s="485">
        <f t="shared" si="31"/>
        <v>4122742.4978376711</v>
      </c>
      <c r="AL38" s="485">
        <f t="shared" si="42"/>
        <v>70086622.4632404</v>
      </c>
      <c r="AM38" s="485">
        <f t="shared" si="43"/>
        <v>68003121.381598964</v>
      </c>
      <c r="AN38" s="485">
        <f t="shared" si="44"/>
        <v>120537207.46304783</v>
      </c>
      <c r="AO38" s="275">
        <f t="shared" si="32"/>
        <v>258626951.3078872</v>
      </c>
      <c r="AP38" s="275">
        <f t="shared" si="33"/>
        <v>31188069.382129729</v>
      </c>
      <c r="AQ38" s="242">
        <f t="shared" si="34"/>
        <v>8245484.9956753422</v>
      </c>
      <c r="AR38" s="243">
        <f t="shared" si="35"/>
        <v>85304433.438850686</v>
      </c>
      <c r="AS38" s="266">
        <f t="shared" si="36"/>
        <v>1</v>
      </c>
      <c r="AT38" s="275">
        <f t="shared" si="37"/>
        <v>2473645.4987026025</v>
      </c>
    </row>
    <row r="39" spans="1:46" x14ac:dyDescent="0.25">
      <c r="A39" s="43">
        <v>2024</v>
      </c>
      <c r="B39" s="102">
        <v>136.67908498742599</v>
      </c>
      <c r="C39" s="1"/>
      <c r="D39" s="1"/>
      <c r="E39" s="43">
        <v>2030</v>
      </c>
      <c r="F39" s="36">
        <v>11.63</v>
      </c>
      <c r="G39" s="476">
        <f t="shared" si="27"/>
        <v>1.1023111710000001E-5</v>
      </c>
      <c r="H39" s="47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Y39" s="484">
        <v>12</v>
      </c>
      <c r="Z39" s="485">
        <f t="shared" si="28"/>
        <v>83449484.053360552</v>
      </c>
      <c r="AA39" s="502">
        <f>'Análisis Finan ISCC Nuevo'!I24</f>
        <v>0</v>
      </c>
      <c r="AB39" s="487">
        <f>'Análisis Finan ISCC Nuevo'!G24*'Análisis Econ ISCC Nuevo'!$AB$26</f>
        <v>0</v>
      </c>
      <c r="AC39" s="491">
        <f t="shared" si="38"/>
        <v>83449484.053360552</v>
      </c>
      <c r="AD39" s="491">
        <f t="shared" si="39"/>
        <v>14591777.585768627</v>
      </c>
      <c r="AE39" s="489">
        <f t="shared" si="29"/>
        <v>25427405.045538001</v>
      </c>
      <c r="AF39" s="486">
        <v>0</v>
      </c>
      <c r="AG39" s="490">
        <f t="shared" si="40"/>
        <v>2083501.0816414305</v>
      </c>
      <c r="AH39" s="487"/>
      <c r="AI39" s="492">
        <f t="shared" si="41"/>
        <v>10835627.459769374</v>
      </c>
      <c r="AJ39" s="485">
        <f t="shared" si="30"/>
        <v>8344948.4053360559</v>
      </c>
      <c r="AK39" s="485">
        <f t="shared" si="31"/>
        <v>4172474.202668028</v>
      </c>
      <c r="AL39" s="485">
        <f t="shared" si="42"/>
        <v>70932061.445356473</v>
      </c>
      <c r="AM39" s="485">
        <f t="shared" si="43"/>
        <v>68848560.363715038</v>
      </c>
      <c r="AN39" s="485">
        <f t="shared" si="44"/>
        <v>189385767.82676286</v>
      </c>
      <c r="AO39" s="275">
        <f t="shared" si="32"/>
        <v>329166389.63583434</v>
      </c>
      <c r="AP39" s="275">
        <f t="shared" si="33"/>
        <v>360354459.01796407</v>
      </c>
      <c r="AQ39" s="242">
        <f t="shared" si="34"/>
        <v>8344948.4053360559</v>
      </c>
      <c r="AR39" s="243">
        <f t="shared" si="35"/>
        <v>93649381.844186738</v>
      </c>
      <c r="AS39" s="266">
        <f t="shared" si="36"/>
        <v>1</v>
      </c>
      <c r="AT39" s="275">
        <f t="shared" si="37"/>
        <v>2503484.5216008169</v>
      </c>
    </row>
    <row r="40" spans="1:46" x14ac:dyDescent="0.25">
      <c r="A40" s="43">
        <v>2025</v>
      </c>
      <c r="B40" s="102">
        <v>139.96973553236805</v>
      </c>
      <c r="C40" s="1"/>
      <c r="D40" s="1"/>
      <c r="E40" s="43">
        <v>2031</v>
      </c>
      <c r="F40" s="36">
        <v>11.91</v>
      </c>
      <c r="G40" s="476">
        <f t="shared" si="27"/>
        <v>1.1288500470000001E-5</v>
      </c>
      <c r="H40" s="47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Y40" s="484">
        <v>13</v>
      </c>
      <c r="Z40" s="485">
        <f t="shared" si="28"/>
        <v>84467238.719364837</v>
      </c>
      <c r="AA40" s="502">
        <f>'Análisis Finan ISCC Nuevo'!I25</f>
        <v>0</v>
      </c>
      <c r="AB40" s="487">
        <f>'Análisis Finan ISCC Nuevo'!G25*'Análisis Econ ISCC Nuevo'!$AB$26</f>
        <v>0</v>
      </c>
      <c r="AC40" s="491">
        <f t="shared" si="38"/>
        <v>84467238.719364837</v>
      </c>
      <c r="AD40" s="491">
        <f t="shared" si="39"/>
        <v>14833070.215338372</v>
      </c>
      <c r="AE40" s="489">
        <f t="shared" si="29"/>
        <v>25801069.809024144</v>
      </c>
      <c r="AF40" s="486">
        <v>0</v>
      </c>
      <c r="AG40" s="490">
        <f t="shared" si="40"/>
        <v>2083501.0816414305</v>
      </c>
      <c r="AH40" s="487"/>
      <c r="AI40" s="492">
        <f t="shared" si="41"/>
        <v>10967999.593685772</v>
      </c>
      <c r="AJ40" s="485">
        <f t="shared" si="30"/>
        <v>8446723.8719364833</v>
      </c>
      <c r="AK40" s="485">
        <f t="shared" si="31"/>
        <v>4223361.9359682417</v>
      </c>
      <c r="AL40" s="485">
        <f t="shared" si="42"/>
        <v>71797152.911460117</v>
      </c>
      <c r="AM40" s="485">
        <f t="shared" si="43"/>
        <v>69713651.829818681</v>
      </c>
      <c r="AN40" s="485">
        <f t="shared" si="44"/>
        <v>259099419.65658152</v>
      </c>
      <c r="AO40" s="275">
        <f t="shared" si="32"/>
        <v>400610224.39786029</v>
      </c>
      <c r="AP40" s="275">
        <f t="shared" si="33"/>
        <v>760964683.41582441</v>
      </c>
      <c r="AQ40" s="242">
        <f t="shared" si="34"/>
        <v>8446723.8719364833</v>
      </c>
      <c r="AR40" s="243">
        <f t="shared" si="35"/>
        <v>102096105.71612322</v>
      </c>
      <c r="AS40" s="266">
        <f t="shared" si="36"/>
        <v>1</v>
      </c>
      <c r="AT40" s="275">
        <f t="shared" si="37"/>
        <v>2534017.1615809449</v>
      </c>
    </row>
    <row r="41" spans="1:46" x14ac:dyDescent="0.25">
      <c r="A41" s="43">
        <v>2026</v>
      </c>
      <c r="B41" s="102">
        <v>143.09073825994619</v>
      </c>
      <c r="C41" s="1"/>
      <c r="D41" s="1"/>
      <c r="E41" s="43">
        <v>2032</v>
      </c>
      <c r="F41" s="36">
        <v>12.24</v>
      </c>
      <c r="G41" s="476">
        <f t="shared" si="27"/>
        <v>1.1601280080000001E-5</v>
      </c>
      <c r="H41" s="47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Y41" s="484">
        <v>14</v>
      </c>
      <c r="Z41" s="485">
        <f t="shared" si="28"/>
        <v>85476988.915456966</v>
      </c>
      <c r="AA41" s="502">
        <f>'Análisis Finan ISCC Nuevo'!I26</f>
        <v>0</v>
      </c>
      <c r="AB41" s="487">
        <f>'Análisis Finan ISCC Nuevo'!G26*'Análisis Econ ISCC Nuevo'!$AB$26</f>
        <v>0</v>
      </c>
      <c r="AC41" s="491">
        <f t="shared" si="38"/>
        <v>85476988.915456966</v>
      </c>
      <c r="AD41" s="491">
        <f t="shared" si="39"/>
        <v>15124629.370080288</v>
      </c>
      <c r="AE41" s="489">
        <f t="shared" si="29"/>
        <v>26223960.196457192</v>
      </c>
      <c r="AF41" s="486">
        <v>0</v>
      </c>
      <c r="AG41" s="490">
        <f t="shared" si="40"/>
        <v>2083501.0816414305</v>
      </c>
      <c r="AH41" s="487"/>
      <c r="AI41" s="492">
        <f t="shared" si="41"/>
        <v>11099330.826376904</v>
      </c>
      <c r="AJ41" s="485">
        <f t="shared" si="30"/>
        <v>8547698.8915456962</v>
      </c>
      <c r="AK41" s="485">
        <f t="shared" si="31"/>
        <v>4273849.4457728481</v>
      </c>
      <c r="AL41" s="485">
        <f t="shared" si="42"/>
        <v>72655440.578138426</v>
      </c>
      <c r="AM41" s="485">
        <f t="shared" si="43"/>
        <v>70571939.49649699</v>
      </c>
      <c r="AN41" s="485">
        <f t="shared" si="44"/>
        <v>329671359.1530785</v>
      </c>
      <c r="AO41" s="275">
        <f t="shared" si="32"/>
        <v>472898739.22771394</v>
      </c>
      <c r="AP41" s="275">
        <f t="shared" si="33"/>
        <v>1233863422.6435385</v>
      </c>
      <c r="AQ41" s="242">
        <f t="shared" si="34"/>
        <v>8547698.8915456962</v>
      </c>
      <c r="AR41" s="243">
        <f t="shared" si="35"/>
        <v>110643804.60766892</v>
      </c>
      <c r="AS41" s="266">
        <f t="shared" si="36"/>
        <v>1</v>
      </c>
      <c r="AT41" s="275">
        <f t="shared" si="37"/>
        <v>2564309.6674637087</v>
      </c>
    </row>
    <row r="42" spans="1:46" x14ac:dyDescent="0.25">
      <c r="A42" s="43">
        <v>2027</v>
      </c>
      <c r="B42" s="102">
        <v>145.70359750019978</v>
      </c>
      <c r="C42" s="1"/>
      <c r="D42" s="1"/>
      <c r="E42" s="43">
        <v>2033</v>
      </c>
      <c r="F42" s="36">
        <v>12.26</v>
      </c>
      <c r="G42" s="476">
        <f t="shared" si="27"/>
        <v>1.1620236420000001E-5</v>
      </c>
      <c r="H42" s="47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 t="s">
        <v>160</v>
      </c>
      <c r="U42" s="1"/>
      <c r="V42" s="212">
        <f>'Análisis Econ CCGT Nuevo'!U5*-1</f>
        <v>185104933.74357328</v>
      </c>
      <c r="Y42" s="484">
        <v>15</v>
      </c>
      <c r="Z42" s="485">
        <f t="shared" si="28"/>
        <v>86626622.249713212</v>
      </c>
      <c r="AA42" s="502">
        <f>'Análisis Finan ISCC Nuevo'!I27</f>
        <v>0</v>
      </c>
      <c r="AB42" s="487">
        <f>'Análisis Finan ISCC Nuevo'!G27*'Análisis Econ ISCC Nuevo'!$AB$26</f>
        <v>0</v>
      </c>
      <c r="AC42" s="491">
        <f t="shared" si="38"/>
        <v>86626622.249713212</v>
      </c>
      <c r="AD42" s="491">
        <f t="shared" si="39"/>
        <v>15091917.315563951</v>
      </c>
      <c r="AE42" s="489">
        <f t="shared" si="29"/>
        <v>26340763.864057329</v>
      </c>
      <c r="AF42" s="486">
        <v>0</v>
      </c>
      <c r="AG42" s="490">
        <f t="shared" si="40"/>
        <v>2083501.0816414305</v>
      </c>
      <c r="AH42" s="487"/>
      <c r="AI42" s="492">
        <f t="shared" si="41"/>
        <v>11248846.548493378</v>
      </c>
      <c r="AJ42" s="485">
        <f t="shared" si="30"/>
        <v>8662662.2249713223</v>
      </c>
      <c r="AK42" s="485">
        <f t="shared" si="31"/>
        <v>4331331.1124856612</v>
      </c>
      <c r="AL42" s="485">
        <f t="shared" si="42"/>
        <v>73632628.912256226</v>
      </c>
      <c r="AM42" s="485">
        <f t="shared" si="43"/>
        <v>71549127.83061479</v>
      </c>
      <c r="AN42" s="485">
        <f t="shared" si="44"/>
        <v>401220486.9836933</v>
      </c>
      <c r="AO42" s="275">
        <f t="shared" si="32"/>
        <v>546402243.72656429</v>
      </c>
      <c r="AP42" s="275">
        <f t="shared" si="33"/>
        <v>1780265666.3701029</v>
      </c>
      <c r="AQ42" s="242">
        <f t="shared" si="34"/>
        <v>8662662.2249713223</v>
      </c>
      <c r="AR42" s="243">
        <f t="shared" si="35"/>
        <v>119306466.83264025</v>
      </c>
      <c r="AS42" s="266">
        <f t="shared" si="36"/>
        <v>1</v>
      </c>
      <c r="AT42" s="275">
        <f t="shared" si="37"/>
        <v>2598798.6674913964</v>
      </c>
    </row>
    <row r="43" spans="1:46" x14ac:dyDescent="0.25">
      <c r="A43" s="43">
        <v>2028</v>
      </c>
      <c r="B43" s="102">
        <v>147.47071366589964</v>
      </c>
      <c r="C43" s="1"/>
      <c r="D43" s="1"/>
      <c r="E43" s="43">
        <v>2034</v>
      </c>
      <c r="F43" s="36">
        <v>12.48</v>
      </c>
      <c r="G43" s="476">
        <f t="shared" si="27"/>
        <v>1.182875616E-5</v>
      </c>
      <c r="H43" s="47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 t="s">
        <v>161</v>
      </c>
      <c r="U43" s="1"/>
      <c r="V43" s="212">
        <f>V5*(-1)-V42</f>
        <v>16458738.5098719</v>
      </c>
      <c r="Y43" s="484">
        <v>16</v>
      </c>
      <c r="Z43" s="485">
        <f t="shared" si="28"/>
        <v>87709394.980575576</v>
      </c>
      <c r="AA43" s="502">
        <f>'Análisis Finan ISCC Nuevo'!I28</f>
        <v>0</v>
      </c>
      <c r="AB43" s="487">
        <f>'Análisis Finan ISCC Nuevo'!G28*'Análisis Econ ISCC Nuevo'!$AB$26</f>
        <v>0</v>
      </c>
      <c r="AC43" s="491">
        <f t="shared" si="38"/>
        <v>87709394.980575576</v>
      </c>
      <c r="AD43" s="491">
        <f t="shared" si="39"/>
        <v>15266308.756891903</v>
      </c>
      <c r="AE43" s="489">
        <f t="shared" si="29"/>
        <v>26655978.832117237</v>
      </c>
      <c r="AF43" s="486">
        <v>0</v>
      </c>
      <c r="AG43" s="490">
        <f t="shared" si="40"/>
        <v>2083501.0816414305</v>
      </c>
      <c r="AH43" s="487"/>
      <c r="AI43" s="492">
        <f t="shared" si="41"/>
        <v>11389670.075225335</v>
      </c>
      <c r="AJ43" s="485">
        <f t="shared" si="30"/>
        <v>8770939.4980575573</v>
      </c>
      <c r="AK43" s="485">
        <f t="shared" si="31"/>
        <v>4385469.7490287786</v>
      </c>
      <c r="AL43" s="485">
        <f t="shared" si="42"/>
        <v>74552985.733489245</v>
      </c>
      <c r="AM43" s="485">
        <f t="shared" si="43"/>
        <v>72469484.65184781</v>
      </c>
      <c r="AN43" s="485">
        <f t="shared" si="44"/>
        <v>473689971.63554108</v>
      </c>
      <c r="AO43" s="275">
        <f t="shared" si="32"/>
        <v>620712442.02087808</v>
      </c>
      <c r="AP43" s="275">
        <f t="shared" si="33"/>
        <v>2400978108.3909807</v>
      </c>
      <c r="AQ43" s="242">
        <f t="shared" si="34"/>
        <v>8770939.4980575573</v>
      </c>
      <c r="AR43" s="243">
        <f t="shared" si="35"/>
        <v>128077406.3306978</v>
      </c>
      <c r="AS43" s="266">
        <f t="shared" si="36"/>
        <v>1</v>
      </c>
      <c r="AT43" s="275">
        <f t="shared" si="37"/>
        <v>2631281.8494172669</v>
      </c>
    </row>
    <row r="44" spans="1:46" ht="15.75" thickBot="1" x14ac:dyDescent="0.3">
      <c r="A44" s="43">
        <v>2029</v>
      </c>
      <c r="B44" s="102">
        <v>149.95644215832598</v>
      </c>
      <c r="C44" s="1"/>
      <c r="D44" s="1"/>
      <c r="E44" s="44">
        <v>2035</v>
      </c>
      <c r="F44" s="45">
        <v>12.56</v>
      </c>
      <c r="G44" s="477">
        <f t="shared" si="27"/>
        <v>1.190458152E-5</v>
      </c>
      <c r="H44" s="47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28" t="s">
        <v>307</v>
      </c>
      <c r="U44" s="729"/>
      <c r="V44" s="224" t="s">
        <v>122</v>
      </c>
      <c r="W44" s="224" t="s">
        <v>143</v>
      </c>
      <c r="Y44" s="493">
        <v>17</v>
      </c>
      <c r="Z44" s="494">
        <f t="shared" si="28"/>
        <v>88867150.804389328</v>
      </c>
      <c r="AA44" s="503">
        <f>'Análisis Finan ISCC Nuevo'!I29</f>
        <v>0</v>
      </c>
      <c r="AB44" s="496">
        <f>'Análisis Finan ISCC Nuevo'!G29*'Análisis Econ ISCC Nuevo'!$AB$26</f>
        <v>0</v>
      </c>
      <c r="AC44" s="497">
        <f t="shared" si="38"/>
        <v>88867150.804389328</v>
      </c>
      <c r="AD44" s="497">
        <f t="shared" si="39"/>
        <v>15294876.974570781</v>
      </c>
      <c r="AE44" s="498">
        <f t="shared" si="29"/>
        <v>26835118.063253149</v>
      </c>
      <c r="AF44" s="495">
        <v>0</v>
      </c>
      <c r="AG44" s="499">
        <f t="shared" si="40"/>
        <v>2083501.0816414305</v>
      </c>
      <c r="AH44" s="496"/>
      <c r="AI44" s="500">
        <f t="shared" si="41"/>
        <v>11540241.088682368</v>
      </c>
      <c r="AJ44" s="494">
        <f t="shared" si="30"/>
        <v>8886715.0804389324</v>
      </c>
      <c r="AK44" s="494">
        <f t="shared" si="31"/>
        <v>4443357.5402194662</v>
      </c>
      <c r="AL44" s="494">
        <f t="shared" si="42"/>
        <v>75537078.18373093</v>
      </c>
      <c r="AM44" s="494">
        <f t="shared" si="43"/>
        <v>73453577.102089494</v>
      </c>
      <c r="AN44" s="494">
        <f t="shared" si="44"/>
        <v>547143548.73763061</v>
      </c>
      <c r="AO44" s="276">
        <f t="shared" si="32"/>
        <v>696134204.02345109</v>
      </c>
      <c r="AP44" s="276">
        <f t="shared" si="33"/>
        <v>3097112312.4144316</v>
      </c>
      <c r="AQ44" s="256">
        <f t="shared" si="34"/>
        <v>8886715.0804389324</v>
      </c>
      <c r="AR44" s="257">
        <f t="shared" si="35"/>
        <v>136964121.41113675</v>
      </c>
      <c r="AS44" s="267">
        <f t="shared" si="36"/>
        <v>1</v>
      </c>
      <c r="AT44" s="276">
        <f t="shared" si="37"/>
        <v>2666014.5241316794</v>
      </c>
    </row>
    <row r="45" spans="1:46" x14ac:dyDescent="0.25">
      <c r="A45" s="43">
        <v>2030</v>
      </c>
      <c r="B45" s="102">
        <v>153.37115880955091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30" t="s">
        <v>123</v>
      </c>
      <c r="U45" s="731"/>
      <c r="V45" s="218">
        <v>0.18</v>
      </c>
      <c r="W45" s="219">
        <f>$V$42*V45</f>
        <v>33318888.073843189</v>
      </c>
    </row>
    <row r="46" spans="1:46" x14ac:dyDescent="0.25">
      <c r="A46" s="43">
        <v>2031</v>
      </c>
      <c r="B46" s="102">
        <v>156.61853877461274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24" t="s">
        <v>124</v>
      </c>
      <c r="U46" s="725"/>
      <c r="V46" s="218">
        <v>0.03</v>
      </c>
      <c r="W46" s="219">
        <f t="shared" ref="W46:W53" si="45">$V$42*V46</f>
        <v>5553148.0123071978</v>
      </c>
      <c r="AL46" t="s">
        <v>249</v>
      </c>
      <c r="AM46" s="213">
        <v>0.12</v>
      </c>
      <c r="AO46" s="158">
        <f>AN27</f>
        <v>-201563672.25344518</v>
      </c>
    </row>
    <row r="47" spans="1:46" x14ac:dyDescent="0.25">
      <c r="A47" s="43">
        <v>2032</v>
      </c>
      <c r="B47" s="102">
        <v>160.21521375532123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24" t="s">
        <v>131</v>
      </c>
      <c r="U47" s="725"/>
      <c r="V47" s="218">
        <v>0.09</v>
      </c>
      <c r="W47" s="219">
        <f t="shared" si="45"/>
        <v>16659444.036921594</v>
      </c>
      <c r="AL47" t="s">
        <v>250</v>
      </c>
      <c r="AM47">
        <v>17</v>
      </c>
      <c r="AO47" s="158">
        <f>AM28</f>
        <v>-5330630.5278512063</v>
      </c>
    </row>
    <row r="48" spans="1:46" x14ac:dyDescent="0.25">
      <c r="A48" s="43">
        <v>2033</v>
      </c>
      <c r="B48" s="102">
        <v>161.83903684826382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24" t="s">
        <v>125</v>
      </c>
      <c r="U48" s="725"/>
      <c r="V48" s="218">
        <v>0.08</v>
      </c>
      <c r="W48" s="219">
        <f t="shared" si="45"/>
        <v>14808394.699485863</v>
      </c>
      <c r="AL48" t="s">
        <v>96</v>
      </c>
      <c r="AM48" s="95">
        <f>NPV(U27,AM29:AM44)</f>
        <v>754037851.51892698</v>
      </c>
      <c r="AO48" s="158">
        <f t="shared" ref="AO48:AO63" si="46">AM29</f>
        <v>9101553.8957105745</v>
      </c>
    </row>
    <row r="49" spans="1:41" x14ac:dyDescent="0.25">
      <c r="A49" s="43">
        <v>2034</v>
      </c>
      <c r="B49" s="102">
        <v>164.78092803397112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24" t="s">
        <v>126</v>
      </c>
      <c r="U49" s="725"/>
      <c r="V49" s="218">
        <v>0.1</v>
      </c>
      <c r="W49" s="219">
        <f t="shared" si="45"/>
        <v>18510493.374357328</v>
      </c>
      <c r="AL49" t="s">
        <v>190</v>
      </c>
      <c r="AM49" s="95">
        <f>AM48+AN27</f>
        <v>552474179.26548183</v>
      </c>
      <c r="AO49" s="158">
        <f t="shared" si="46"/>
        <v>9909862.8593706712</v>
      </c>
    </row>
    <row r="50" spans="1:41" ht="15.75" thickBot="1" x14ac:dyDescent="0.3">
      <c r="A50" s="44">
        <v>2035</v>
      </c>
      <c r="B50" s="105">
        <v>166.84779500272788</v>
      </c>
      <c r="T50" s="724" t="s">
        <v>309</v>
      </c>
      <c r="U50" s="725"/>
      <c r="V50" s="218">
        <v>0.09</v>
      </c>
      <c r="W50" s="219">
        <f t="shared" si="45"/>
        <v>16659444.036921594</v>
      </c>
      <c r="AL50" t="s">
        <v>51</v>
      </c>
      <c r="AM50" s="95">
        <f>-PMT(AM46,AM47,AM49)</f>
        <v>77598715.251823887</v>
      </c>
      <c r="AO50" s="158">
        <f t="shared" si="46"/>
        <v>10748882.856238825</v>
      </c>
    </row>
    <row r="51" spans="1:41" x14ac:dyDescent="0.25">
      <c r="T51" s="724" t="s">
        <v>128</v>
      </c>
      <c r="U51" s="725"/>
      <c r="V51" s="218">
        <v>0.03</v>
      </c>
      <c r="W51" s="219">
        <f t="shared" si="45"/>
        <v>5553148.0123071978</v>
      </c>
      <c r="AL51" t="s">
        <v>52</v>
      </c>
      <c r="AM51" s="293">
        <f>AM48/-AN27</f>
        <v>3.7409412275978156</v>
      </c>
      <c r="AO51" s="158">
        <f t="shared" si="46"/>
        <v>11632010.430346474</v>
      </c>
    </row>
    <row r="52" spans="1:41" x14ac:dyDescent="0.25">
      <c r="T52" s="724" t="s">
        <v>130</v>
      </c>
      <c r="U52" s="725"/>
      <c r="V52" s="218">
        <v>0.08</v>
      </c>
      <c r="W52" s="219">
        <f t="shared" si="45"/>
        <v>14808394.699485863</v>
      </c>
      <c r="AL52" t="s">
        <v>53</v>
      </c>
      <c r="AM52" s="522">
        <f>IRR(AO46:AO63)</f>
        <v>0.1271414821976371</v>
      </c>
      <c r="AO52" s="158">
        <f t="shared" si="46"/>
        <v>41776965.952153623</v>
      </c>
    </row>
    <row r="53" spans="1:41" x14ac:dyDescent="0.25">
      <c r="T53" s="726" t="s">
        <v>129</v>
      </c>
      <c r="U53" s="727"/>
      <c r="V53" s="218">
        <v>0.32</v>
      </c>
      <c r="W53" s="219">
        <f t="shared" si="45"/>
        <v>59233578.797943451</v>
      </c>
      <c r="AL53" t="s">
        <v>191</v>
      </c>
      <c r="AM53" s="213">
        <f>MIRR(AO46:AO63,AM52,AM46)</f>
        <v>0.12416711142690051</v>
      </c>
      <c r="AO53" s="158">
        <f t="shared" si="46"/>
        <v>42651661.018022425</v>
      </c>
    </row>
    <row r="54" spans="1:41" x14ac:dyDescent="0.25">
      <c r="T54" s="722" t="s">
        <v>312</v>
      </c>
      <c r="U54" s="723"/>
      <c r="V54" s="222">
        <f>SUM(V45:V53)</f>
        <v>1</v>
      </c>
      <c r="W54" s="223">
        <f>SUM(W45:W53)</f>
        <v>185104933.74357328</v>
      </c>
      <c r="AL54" t="s">
        <v>192</v>
      </c>
      <c r="AM54" s="293">
        <f>8-AN35/(-AN35+AN36)</f>
        <v>8.8414545511239737</v>
      </c>
      <c r="AO54" s="158">
        <f t="shared" si="46"/>
        <v>43546037.615242854</v>
      </c>
    </row>
    <row r="55" spans="1:41" x14ac:dyDescent="0.25">
      <c r="T55" s="728" t="s">
        <v>308</v>
      </c>
      <c r="U55" s="729"/>
      <c r="V55" s="270" t="s">
        <v>122</v>
      </c>
      <c r="W55" s="270" t="s">
        <v>143</v>
      </c>
      <c r="AO55" s="158">
        <f t="shared" si="46"/>
        <v>44598164.100584798</v>
      </c>
    </row>
    <row r="56" spans="1:41" x14ac:dyDescent="0.25">
      <c r="T56" s="730" t="s">
        <v>310</v>
      </c>
      <c r="U56" s="731"/>
      <c r="V56" s="218">
        <v>0.15</v>
      </c>
      <c r="W56" s="219">
        <f>V56*$V$43</f>
        <v>2468810.7764807851</v>
      </c>
      <c r="AO56" s="158">
        <f t="shared" si="46"/>
        <v>45463250.135074981</v>
      </c>
    </row>
    <row r="57" spans="1:41" x14ac:dyDescent="0.25">
      <c r="T57" s="724" t="s">
        <v>311</v>
      </c>
      <c r="U57" s="725"/>
      <c r="V57" s="218">
        <v>0.02</v>
      </c>
      <c r="W57" s="219">
        <f t="shared" ref="W57:W58" si="47">V57*$V$43</f>
        <v>329174.77019743802</v>
      </c>
      <c r="AO57" s="158">
        <f t="shared" si="46"/>
        <v>68003121.381598964</v>
      </c>
    </row>
    <row r="58" spans="1:41" x14ac:dyDescent="0.25">
      <c r="T58" s="726" t="s">
        <v>59</v>
      </c>
      <c r="U58" s="727"/>
      <c r="V58" s="238">
        <v>0.83</v>
      </c>
      <c r="W58" s="235">
        <f t="shared" si="47"/>
        <v>13660752.963193676</v>
      </c>
      <c r="AO58" s="158">
        <f t="shared" si="46"/>
        <v>68848560.363715038</v>
      </c>
    </row>
    <row r="59" spans="1:41" x14ac:dyDescent="0.25">
      <c r="T59" s="220"/>
      <c r="U59" s="221" t="s">
        <v>313</v>
      </c>
      <c r="V59" s="222">
        <f>SUM(V56:V58)</f>
        <v>1</v>
      </c>
      <c r="W59" s="271">
        <f>SUM(W56:W58)</f>
        <v>16458738.509871898</v>
      </c>
      <c r="AO59" s="158">
        <f t="shared" si="46"/>
        <v>69713651.829818681</v>
      </c>
    </row>
    <row r="60" spans="1:41" x14ac:dyDescent="0.25">
      <c r="T60" s="858" t="s">
        <v>314</v>
      </c>
      <c r="U60" s="859"/>
      <c r="V60" s="860"/>
      <c r="W60" s="720">
        <f>SUM(W54,W59)</f>
        <v>201563672.25344518</v>
      </c>
      <c r="AO60" s="158">
        <f t="shared" si="46"/>
        <v>70571939.49649699</v>
      </c>
    </row>
    <row r="61" spans="1:41" x14ac:dyDescent="0.25">
      <c r="S61" s="214"/>
      <c r="T61" s="233" t="s">
        <v>143</v>
      </c>
      <c r="U61" s="236" t="s">
        <v>142</v>
      </c>
      <c r="V61" s="217" t="s">
        <v>238</v>
      </c>
      <c r="W61" s="233" t="s">
        <v>146</v>
      </c>
      <c r="AO61" s="158">
        <f t="shared" si="46"/>
        <v>71549127.83061479</v>
      </c>
    </row>
    <row r="62" spans="1:41" x14ac:dyDescent="0.25">
      <c r="S62" s="231" t="s">
        <v>162</v>
      </c>
      <c r="T62" s="234">
        <f>SUM(W47:W53)</f>
        <v>146232897.6574229</v>
      </c>
      <c r="U62" s="237">
        <f>1/W62</f>
        <v>0.2</v>
      </c>
      <c r="V62" s="234">
        <f>T62*U62</f>
        <v>29246579.531484582</v>
      </c>
      <c r="W62" s="273">
        <v>5</v>
      </c>
      <c r="AO62" s="158">
        <f t="shared" si="46"/>
        <v>72469484.65184781</v>
      </c>
    </row>
    <row r="63" spans="1:41" x14ac:dyDescent="0.25">
      <c r="S63" s="272" t="s">
        <v>163</v>
      </c>
      <c r="T63" s="252">
        <f>W58</f>
        <v>13660752.963193676</v>
      </c>
      <c r="U63" s="274">
        <f>1/W63</f>
        <v>1</v>
      </c>
      <c r="V63" s="252">
        <f>T63*U63</f>
        <v>13660752.963193676</v>
      </c>
      <c r="W63" s="255">
        <v>1</v>
      </c>
      <c r="AO63" s="158">
        <f t="shared" si="46"/>
        <v>73453577.102089494</v>
      </c>
    </row>
    <row r="64" spans="1:41" x14ac:dyDescent="0.25">
      <c r="S64" s="232" t="s">
        <v>141</v>
      </c>
      <c r="T64" s="235">
        <f>(SUM(W45:W46)+W56+W57)</f>
        <v>41670021.632828608</v>
      </c>
      <c r="U64" s="238">
        <f>1/W64</f>
        <v>0.05</v>
      </c>
      <c r="V64" s="235">
        <f>T64*U64</f>
        <v>2083501.0816414305</v>
      </c>
      <c r="W64" s="215">
        <v>20</v>
      </c>
      <c r="AO64" s="158"/>
    </row>
    <row r="65" spans="19:41" x14ac:dyDescent="0.25">
      <c r="S65" s="260" t="s">
        <v>151</v>
      </c>
      <c r="T65" s="261">
        <v>0.3</v>
      </c>
      <c r="AO65" s="158"/>
    </row>
  </sheetData>
  <mergeCells count="60">
    <mergeCell ref="AN25:AN26"/>
    <mergeCell ref="AJ2:AJ3"/>
    <mergeCell ref="AK2:AK3"/>
    <mergeCell ref="AL2:AL3"/>
    <mergeCell ref="AE2:AE3"/>
    <mergeCell ref="AF2:AF3"/>
    <mergeCell ref="AG2:AG3"/>
    <mergeCell ref="AH2:AH3"/>
    <mergeCell ref="AI2:AI3"/>
    <mergeCell ref="AH25:AH26"/>
    <mergeCell ref="AJ25:AJ26"/>
    <mergeCell ref="AK25:AK26"/>
    <mergeCell ref="AL25:AL26"/>
    <mergeCell ref="AM25:AM26"/>
    <mergeCell ref="AI25:AI26"/>
    <mergeCell ref="Y2:Y3"/>
    <mergeCell ref="Z2:Z3"/>
    <mergeCell ref="AA2:AA3"/>
    <mergeCell ref="AB2:AB3"/>
    <mergeCell ref="AC2:AD2"/>
    <mergeCell ref="J32:K32"/>
    <mergeCell ref="L32:M32"/>
    <mergeCell ref="N32:O32"/>
    <mergeCell ref="C2:D2"/>
    <mergeCell ref="J3:J4"/>
    <mergeCell ref="K3:K4"/>
    <mergeCell ref="L3:L4"/>
    <mergeCell ref="M3:M4"/>
    <mergeCell ref="E26:G26"/>
    <mergeCell ref="B19:D19"/>
    <mergeCell ref="T27:U27"/>
    <mergeCell ref="B15:D15"/>
    <mergeCell ref="B16:D16"/>
    <mergeCell ref="N3:N4"/>
    <mergeCell ref="O3:W3"/>
    <mergeCell ref="B14:D14"/>
    <mergeCell ref="J26:K26"/>
    <mergeCell ref="B17:D17"/>
    <mergeCell ref="B18:D18"/>
    <mergeCell ref="Y25:Y26"/>
    <mergeCell ref="Z25:Z26"/>
    <mergeCell ref="AA25:AA26"/>
    <mergeCell ref="AF25:AG25"/>
    <mergeCell ref="AC25:AC26"/>
    <mergeCell ref="T44:U44"/>
    <mergeCell ref="T45:U45"/>
    <mergeCell ref="T46:U46"/>
    <mergeCell ref="T47:U47"/>
    <mergeCell ref="T48:U48"/>
    <mergeCell ref="T49:U49"/>
    <mergeCell ref="T50:U50"/>
    <mergeCell ref="T51:U51"/>
    <mergeCell ref="T52:U52"/>
    <mergeCell ref="T53:U53"/>
    <mergeCell ref="T60:V60"/>
    <mergeCell ref="T54:U54"/>
    <mergeCell ref="T55:U55"/>
    <mergeCell ref="T56:U56"/>
    <mergeCell ref="T57:U57"/>
    <mergeCell ref="T58:U58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95"/>
  <sheetViews>
    <sheetView topLeftCell="I79" zoomScale="80" zoomScaleNormal="80" workbookViewId="0">
      <selection activeCell="B66" sqref="B66:M95"/>
    </sheetView>
  </sheetViews>
  <sheetFormatPr baseColWidth="10" defaultRowHeight="15" x14ac:dyDescent="0.25"/>
  <cols>
    <col min="3" max="3" width="18.5703125" hidden="1" customWidth="1"/>
    <col min="4" max="4" width="18.42578125" hidden="1" customWidth="1"/>
    <col min="5" max="5" width="19.28515625" hidden="1" customWidth="1"/>
    <col min="6" max="6" width="15.140625" customWidth="1"/>
    <col min="7" max="7" width="15.42578125" customWidth="1"/>
    <col min="8" max="8" width="12.85546875" customWidth="1"/>
    <col min="9" max="9" width="15" bestFit="1" customWidth="1"/>
    <col min="10" max="10" width="14.5703125" customWidth="1"/>
    <col min="11" max="11" width="16.7109375" customWidth="1"/>
    <col min="12" max="12" width="16.85546875" customWidth="1"/>
    <col min="13" max="13" width="15.42578125" customWidth="1"/>
    <col min="15" max="15" width="19.5703125" customWidth="1"/>
    <col min="16" max="16" width="18.28515625" customWidth="1"/>
    <col min="17" max="17" width="20" customWidth="1"/>
    <col min="18" max="18" width="18.5703125" customWidth="1"/>
    <col min="19" max="19" width="15.5703125" customWidth="1"/>
  </cols>
  <sheetData>
    <row r="1" spans="2:19" ht="15.75" thickBot="1" x14ac:dyDescent="0.3">
      <c r="C1" t="s">
        <v>239</v>
      </c>
      <c r="E1" s="155">
        <v>2.3400000000000001E-2</v>
      </c>
    </row>
    <row r="2" spans="2:19" x14ac:dyDescent="0.25">
      <c r="B2" s="791" t="s">
        <v>240</v>
      </c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3"/>
    </row>
    <row r="3" spans="2:19" ht="15" customHeight="1" x14ac:dyDescent="0.25">
      <c r="B3" s="641" t="s">
        <v>77</v>
      </c>
      <c r="C3" s="642" t="s">
        <v>78</v>
      </c>
      <c r="D3" s="643" t="s">
        <v>79</v>
      </c>
      <c r="E3" s="644">
        <v>0.12</v>
      </c>
      <c r="F3" s="798" t="s">
        <v>80</v>
      </c>
      <c r="G3" s="606"/>
      <c r="H3" s="610"/>
      <c r="I3" s="610"/>
      <c r="J3" s="611"/>
      <c r="K3" s="800">
        <f>(1-H5)*D12</f>
        <v>-20156367.225344513</v>
      </c>
      <c r="L3" s="606" t="s">
        <v>242</v>
      </c>
      <c r="M3" s="607">
        <v>94</v>
      </c>
      <c r="O3" s="464" t="s">
        <v>257</v>
      </c>
      <c r="P3" s="511" t="s">
        <v>245</v>
      </c>
      <c r="Q3" s="511" t="s">
        <v>246</v>
      </c>
      <c r="R3" s="511" t="s">
        <v>247</v>
      </c>
      <c r="S3" s="515" t="s">
        <v>248</v>
      </c>
    </row>
    <row r="4" spans="2:19" x14ac:dyDescent="0.25">
      <c r="B4" s="645"/>
      <c r="C4" s="646"/>
      <c r="D4" s="639"/>
      <c r="E4" s="647"/>
      <c r="F4" s="799"/>
      <c r="G4" s="612" t="s">
        <v>81</v>
      </c>
      <c r="H4" s="613"/>
      <c r="I4" s="613"/>
      <c r="J4" s="614">
        <f>$M$4+M3/10000</f>
        <v>3.2800000000000003E-2</v>
      </c>
      <c r="K4" s="801"/>
      <c r="L4" s="608" t="s">
        <v>243</v>
      </c>
      <c r="M4" s="609">
        <v>2.3400000000000001E-2</v>
      </c>
      <c r="O4" s="260" t="s">
        <v>48</v>
      </c>
      <c r="P4" s="516">
        <v>0.12</v>
      </c>
      <c r="Q4" s="516">
        <v>0.12</v>
      </c>
      <c r="R4" s="516">
        <v>0.12</v>
      </c>
      <c r="S4" s="516">
        <v>0.12</v>
      </c>
    </row>
    <row r="5" spans="2:19" ht="15" customHeight="1" x14ac:dyDescent="0.25">
      <c r="B5" s="645"/>
      <c r="C5" s="646"/>
      <c r="D5" s="622"/>
      <c r="E5" s="648" t="s">
        <v>82</v>
      </c>
      <c r="F5" s="615">
        <v>0.02</v>
      </c>
      <c r="G5" s="612" t="s">
        <v>83</v>
      </c>
      <c r="H5" s="616">
        <v>0.9</v>
      </c>
      <c r="I5" s="600">
        <f>H5*D12</f>
        <v>-181407305.02810067</v>
      </c>
      <c r="J5" s="601"/>
      <c r="K5" s="802"/>
      <c r="L5" s="782" t="s">
        <v>251</v>
      </c>
      <c r="M5" s="827" t="s">
        <v>226</v>
      </c>
      <c r="O5" s="260" t="s">
        <v>22</v>
      </c>
      <c r="P5" s="511">
        <v>17</v>
      </c>
      <c r="Q5" s="511">
        <v>17</v>
      </c>
      <c r="R5" s="511">
        <v>17</v>
      </c>
      <c r="S5" s="511">
        <v>17</v>
      </c>
    </row>
    <row r="6" spans="2:19" x14ac:dyDescent="0.25">
      <c r="B6" s="637" t="s">
        <v>85</v>
      </c>
      <c r="C6" s="649"/>
      <c r="D6" s="632"/>
      <c r="E6" s="650"/>
      <c r="F6" s="617" t="s">
        <v>86</v>
      </c>
      <c r="G6" s="618" t="s">
        <v>87</v>
      </c>
      <c r="H6" s="619" t="s">
        <v>88</v>
      </c>
      <c r="I6" s="619" t="s">
        <v>89</v>
      </c>
      <c r="J6" s="620" t="s">
        <v>90</v>
      </c>
      <c r="K6" s="803"/>
      <c r="L6" s="784"/>
      <c r="M6" s="828"/>
      <c r="O6" s="514" t="s">
        <v>244</v>
      </c>
      <c r="P6" s="517">
        <f>C30</f>
        <v>555564598.14417124</v>
      </c>
      <c r="Q6" s="517">
        <f>M30</f>
        <v>433680991.26951981</v>
      </c>
      <c r="R6" s="517">
        <f>M62</f>
        <v>430196944.38410932</v>
      </c>
      <c r="S6" s="517">
        <f>M94</f>
        <v>403911172.04720712</v>
      </c>
    </row>
    <row r="7" spans="2:19" x14ac:dyDescent="0.25">
      <c r="B7" s="640"/>
      <c r="C7" s="622"/>
      <c r="D7" s="622"/>
      <c r="E7" s="651"/>
      <c r="F7" s="621"/>
      <c r="G7" s="610"/>
      <c r="H7" s="610"/>
      <c r="I7" s="610"/>
      <c r="J7" s="611"/>
      <c r="K7" s="622"/>
      <c r="L7" s="606"/>
      <c r="M7" s="607"/>
      <c r="O7" s="260" t="s">
        <v>94</v>
      </c>
      <c r="P7" s="517">
        <f>C31</f>
        <v>354000925.89072609</v>
      </c>
      <c r="Q7" s="517">
        <f>M31</f>
        <v>407175368.36819178</v>
      </c>
      <c r="R7" s="517">
        <f>M63</f>
        <v>403691321.48278129</v>
      </c>
      <c r="S7" s="517">
        <f>M95</f>
        <v>377405549.14587909</v>
      </c>
    </row>
    <row r="8" spans="2:19" x14ac:dyDescent="0.25">
      <c r="B8" s="637"/>
      <c r="C8" s="625"/>
      <c r="D8" s="625"/>
      <c r="E8" s="652"/>
      <c r="F8" s="623">
        <f>I5*F5*-1</f>
        <v>3628146.1005620137</v>
      </c>
      <c r="G8" s="613"/>
      <c r="H8" s="613" t="s">
        <v>97</v>
      </c>
      <c r="I8" s="613"/>
      <c r="J8" s="624"/>
      <c r="K8" s="625"/>
      <c r="L8" s="612"/>
      <c r="M8" s="653"/>
      <c r="O8" s="260" t="s">
        <v>51</v>
      </c>
      <c r="P8" s="518">
        <f>-PMT(P4,P5,P7)</f>
        <v>49721811.585109808</v>
      </c>
      <c r="Q8" s="518">
        <f>-PMT(Q4,Q5,Q7)</f>
        <v>57190519.762511417</v>
      </c>
      <c r="R8" s="518">
        <f>-PMT(R4,R5,R7)</f>
        <v>56701161.93850521</v>
      </c>
      <c r="S8" s="518">
        <f>-PMT(S4,S5,S7)</f>
        <v>53009148.376066156</v>
      </c>
    </row>
    <row r="9" spans="2:19" x14ac:dyDescent="0.25">
      <c r="B9" s="637"/>
      <c r="C9" s="625"/>
      <c r="D9" s="625"/>
      <c r="E9" s="652"/>
      <c r="F9" s="623">
        <f>I5*G9*-1</f>
        <v>1814073.0502810068</v>
      </c>
      <c r="G9" s="626">
        <v>0.01</v>
      </c>
      <c r="H9" s="613" t="s">
        <v>92</v>
      </c>
      <c r="I9" s="613"/>
      <c r="J9" s="624"/>
      <c r="K9" s="625"/>
      <c r="L9" s="612"/>
      <c r="M9" s="653"/>
      <c r="O9" s="260" t="s">
        <v>52</v>
      </c>
      <c r="P9" s="519">
        <f>P6/-D12</f>
        <v>2.7562734491441843</v>
      </c>
      <c r="Q9" s="519">
        <f>Q6/-K12</f>
        <v>16.361848687124827</v>
      </c>
      <c r="R9" s="519">
        <f>R6/-K44</f>
        <v>16.230403110524701</v>
      </c>
      <c r="S9" s="519">
        <f>S6/-K76</f>
        <v>15.238697598273369</v>
      </c>
    </row>
    <row r="10" spans="2:19" x14ac:dyDescent="0.25">
      <c r="B10" s="637"/>
      <c r="C10" s="625"/>
      <c r="D10" s="625"/>
      <c r="E10" s="652"/>
      <c r="F10" s="627">
        <f>I5*G10*-1</f>
        <v>907036.52514050342</v>
      </c>
      <c r="G10" s="628">
        <v>5.0000000000000001E-3</v>
      </c>
      <c r="H10" s="613" t="s">
        <v>93</v>
      </c>
      <c r="I10" s="613"/>
      <c r="J10" s="624"/>
      <c r="K10" s="625"/>
      <c r="L10" s="612"/>
      <c r="M10" s="653"/>
      <c r="O10" s="260" t="s">
        <v>53</v>
      </c>
      <c r="P10" s="520">
        <f>'Análisis Econ ISCC Nuevo'!U34</f>
        <v>0.37186416543416079</v>
      </c>
      <c r="Q10" s="520">
        <f>IRR(M12:M29)</f>
        <v>1.954699656370988</v>
      </c>
      <c r="R10" s="520">
        <f>IRR(M44:M61)</f>
        <v>1.9316375893422362</v>
      </c>
      <c r="S10" s="520">
        <f>IRR(M76:M93)</f>
        <v>1.7578224366105575</v>
      </c>
    </row>
    <row r="11" spans="2:19" x14ac:dyDescent="0.25">
      <c r="B11" s="617"/>
      <c r="C11" s="625"/>
      <c r="D11" s="625"/>
      <c r="E11" s="652"/>
      <c r="F11" s="629"/>
      <c r="G11" s="630"/>
      <c r="H11" s="630"/>
      <c r="I11" s="630"/>
      <c r="J11" s="631"/>
      <c r="K11" s="632"/>
      <c r="L11" s="608"/>
      <c r="M11" s="654"/>
      <c r="O11" s="260" t="s">
        <v>54</v>
      </c>
      <c r="P11" s="516">
        <f>'Análisis Econ ISCC Nuevo'!U35</f>
        <v>0.188828846465811</v>
      </c>
      <c r="Q11" s="520">
        <f>MIRR(M12:M29,Q10,Q4)</f>
        <v>0.32013980730459801</v>
      </c>
      <c r="R11" s="520">
        <f>MIRR(M44:M61,R10,R4)</f>
        <v>0.31951358008962694</v>
      </c>
      <c r="S11" s="520">
        <f>MIRR(M76:M93,S10,S4)</f>
        <v>0.31462894556734233</v>
      </c>
    </row>
    <row r="12" spans="2:19" x14ac:dyDescent="0.25">
      <c r="B12" s="635">
        <v>2018</v>
      </c>
      <c r="C12" s="599"/>
      <c r="D12" s="655">
        <f>'Análisis Econ ISCC Nuevo'!V5</f>
        <v>-201563672.25344518</v>
      </c>
      <c r="E12" s="656">
        <f>D12</f>
        <v>-201563672.25344518</v>
      </c>
      <c r="F12" s="657">
        <f>E12</f>
        <v>-201563672.25344518</v>
      </c>
      <c r="G12" s="596"/>
      <c r="H12" s="596"/>
      <c r="I12" s="596"/>
      <c r="J12" s="658">
        <f>I5*-1</f>
        <v>181407305.02810067</v>
      </c>
      <c r="K12" s="659">
        <f>K3-(F8+F9+F10)</f>
        <v>-26505622.901328035</v>
      </c>
      <c r="L12" s="659">
        <f>K12</f>
        <v>-26505622.901328035</v>
      </c>
      <c r="M12" s="660">
        <f>K12</f>
        <v>-26505622.901328035</v>
      </c>
      <c r="O12" s="260" t="s">
        <v>56</v>
      </c>
      <c r="P12" s="519">
        <f>2-E14/(-E14+E15)</f>
        <v>2.7346613226375207</v>
      </c>
      <c r="Q12" s="519">
        <f>-L12/(-L12+L13)</f>
        <v>0.51591633374979595</v>
      </c>
      <c r="R12" s="519">
        <f>-L44/(-L44+L45)</f>
        <v>0.52218366931597859</v>
      </c>
      <c r="S12" s="519">
        <f>-L76/(-L76+L77)</f>
        <v>0.57487161789776109</v>
      </c>
    </row>
    <row r="13" spans="2:19" x14ac:dyDescent="0.25">
      <c r="B13" s="416">
        <v>2019</v>
      </c>
      <c r="C13" s="142">
        <f>'Análisis Econ ISCC Nuevo'!V6</f>
        <v>72947284.805418268</v>
      </c>
      <c r="D13" s="134"/>
      <c r="E13" s="180">
        <f>E12+C13</f>
        <v>-128616387.44802691</v>
      </c>
      <c r="F13" s="199">
        <f>C13</f>
        <v>72947284.805418268</v>
      </c>
      <c r="G13" s="143">
        <f>J12*$J$4</f>
        <v>5950159.6049217023</v>
      </c>
      <c r="H13" s="144">
        <f>I13-G13</f>
        <v>15621308.68257552</v>
      </c>
      <c r="I13" s="144">
        <f>PMT(J4,10,-J12,,0)</f>
        <v>21571468.287497222</v>
      </c>
      <c r="J13" s="145">
        <f>J12-H13</f>
        <v>165785996.34552515</v>
      </c>
      <c r="K13" s="134"/>
      <c r="L13" s="146">
        <f>M13+K12</f>
        <v>24870193.616593011</v>
      </c>
      <c r="M13" s="181">
        <f>F13-I13</f>
        <v>51375816.517921045</v>
      </c>
    </row>
    <row r="14" spans="2:19" x14ac:dyDescent="0.25">
      <c r="B14" s="635">
        <v>2020</v>
      </c>
      <c r="C14" s="661">
        <f>'Análisis Econ ISCC Nuevo'!V7</f>
        <v>73776487.39382486</v>
      </c>
      <c r="D14" s="599"/>
      <c r="E14" s="656">
        <f t="shared" ref="E14:E29" si="0">E13+C14</f>
        <v>-54839900.05420205</v>
      </c>
      <c r="F14" s="662">
        <f t="shared" ref="F14:F29" si="1">C14</f>
        <v>73776487.39382486</v>
      </c>
      <c r="G14" s="663">
        <f t="shared" ref="G14:G22" si="2">J13*$J$4</f>
        <v>5437780.6801332254</v>
      </c>
      <c r="H14" s="664">
        <f>I14-G14</f>
        <v>16133687.607363997</v>
      </c>
      <c r="I14" s="664">
        <f>I13</f>
        <v>21571468.287497222</v>
      </c>
      <c r="J14" s="665">
        <f t="shared" ref="J14:J22" si="3">J13-H14</f>
        <v>149652308.73816115</v>
      </c>
      <c r="K14" s="599"/>
      <c r="L14" s="666">
        <f>M14+L13</f>
        <v>77075212.722920656</v>
      </c>
      <c r="M14" s="667">
        <f t="shared" ref="M14:M29" si="4">F14-I14</f>
        <v>52205019.106327638</v>
      </c>
      <c r="O14" s="543" t="s">
        <v>256</v>
      </c>
      <c r="P14" s="524" t="s">
        <v>246</v>
      </c>
      <c r="Q14" s="524" t="s">
        <v>247</v>
      </c>
      <c r="R14" s="524" t="s">
        <v>248</v>
      </c>
    </row>
    <row r="15" spans="2:19" x14ac:dyDescent="0.25">
      <c r="B15" s="416">
        <v>2021</v>
      </c>
      <c r="C15" s="142">
        <f>'Análisis Econ ISCC Nuevo'!V8</f>
        <v>74646504.946415797</v>
      </c>
      <c r="D15" s="134"/>
      <c r="E15" s="181">
        <f t="shared" si="0"/>
        <v>19806604.892213747</v>
      </c>
      <c r="F15" s="199">
        <f t="shared" si="1"/>
        <v>74646504.946415797</v>
      </c>
      <c r="G15" s="143">
        <f t="shared" si="2"/>
        <v>4908595.7266116859</v>
      </c>
      <c r="H15" s="144">
        <f t="shared" ref="H15:H22" si="5">I15-G15</f>
        <v>16662872.560885537</v>
      </c>
      <c r="I15" s="144">
        <f t="shared" ref="I15:I22" si="6">I14</f>
        <v>21571468.287497222</v>
      </c>
      <c r="J15" s="145">
        <f t="shared" si="3"/>
        <v>132989436.17727561</v>
      </c>
      <c r="K15" s="134"/>
      <c r="L15" s="146">
        <f t="shared" ref="L15:L29" si="7">M15+L14</f>
        <v>130150249.38183923</v>
      </c>
      <c r="M15" s="181">
        <f t="shared" si="4"/>
        <v>53075036.658918574</v>
      </c>
      <c r="O15" s="260" t="s">
        <v>48</v>
      </c>
      <c r="P15" s="523">
        <v>0.12</v>
      </c>
      <c r="Q15" s="528">
        <v>0.12</v>
      </c>
      <c r="R15" s="528">
        <v>0.12</v>
      </c>
    </row>
    <row r="16" spans="2:19" x14ac:dyDescent="0.25">
      <c r="B16" s="635">
        <v>2022</v>
      </c>
      <c r="C16" s="661">
        <f>'Análisis Econ ISCC Nuevo'!V9</f>
        <v>75549998.485555246</v>
      </c>
      <c r="D16" s="599"/>
      <c r="E16" s="668">
        <f t="shared" si="0"/>
        <v>95356603.377768993</v>
      </c>
      <c r="F16" s="662">
        <f t="shared" si="1"/>
        <v>75549998.485555246</v>
      </c>
      <c r="G16" s="663">
        <f t="shared" si="2"/>
        <v>4362053.5066146404</v>
      </c>
      <c r="H16" s="664">
        <f t="shared" si="5"/>
        <v>17209414.780882582</v>
      </c>
      <c r="I16" s="664">
        <f t="shared" si="6"/>
        <v>21571468.287497222</v>
      </c>
      <c r="J16" s="665">
        <f t="shared" si="3"/>
        <v>115780021.39639303</v>
      </c>
      <c r="K16" s="599"/>
      <c r="L16" s="666">
        <f t="shared" si="7"/>
        <v>184128779.57989725</v>
      </c>
      <c r="M16" s="667">
        <f t="shared" si="4"/>
        <v>53978530.198058024</v>
      </c>
      <c r="O16" s="260" t="s">
        <v>22</v>
      </c>
      <c r="P16" s="524">
        <v>17</v>
      </c>
      <c r="Q16" s="524">
        <v>17</v>
      </c>
      <c r="R16" s="524">
        <v>17</v>
      </c>
    </row>
    <row r="17" spans="2:18" x14ac:dyDescent="0.25">
      <c r="B17" s="416">
        <v>2023</v>
      </c>
      <c r="C17" s="142">
        <f>'Análisis Econ ISCC Nuevo'!V10</f>
        <v>76502641.579063445</v>
      </c>
      <c r="D17" s="134"/>
      <c r="E17" s="181">
        <f t="shared" si="0"/>
        <v>171859244.95683244</v>
      </c>
      <c r="F17" s="199">
        <f t="shared" si="1"/>
        <v>76502641.579063445</v>
      </c>
      <c r="G17" s="143">
        <f t="shared" si="2"/>
        <v>3797584.7018016917</v>
      </c>
      <c r="H17" s="144">
        <f t="shared" si="5"/>
        <v>17773883.585695531</v>
      </c>
      <c r="I17" s="144">
        <f t="shared" si="6"/>
        <v>21571468.287497222</v>
      </c>
      <c r="J17" s="145">
        <f t="shared" si="3"/>
        <v>98006137.810697496</v>
      </c>
      <c r="K17" s="134"/>
      <c r="L17" s="146">
        <f t="shared" si="7"/>
        <v>239059952.87146348</v>
      </c>
      <c r="M17" s="181">
        <f t="shared" si="4"/>
        <v>54931173.291566223</v>
      </c>
      <c r="O17" s="514" t="s">
        <v>244</v>
      </c>
      <c r="P17" s="525">
        <f>'Análisis Econ ISCC Nuevo'!AM48</f>
        <v>754037851.51892698</v>
      </c>
      <c r="Q17" s="529">
        <v>746461814.15538001</v>
      </c>
      <c r="R17" s="529">
        <v>711639094.23456156</v>
      </c>
    </row>
    <row r="18" spans="2:18" x14ac:dyDescent="0.25">
      <c r="B18" s="635">
        <v>2024</v>
      </c>
      <c r="C18" s="661">
        <f>'Análisis Econ ISCC Nuevo'!V11</f>
        <v>77470392.344608337</v>
      </c>
      <c r="D18" s="599"/>
      <c r="E18" s="667">
        <f t="shared" si="0"/>
        <v>249329637.30144078</v>
      </c>
      <c r="F18" s="662">
        <f t="shared" si="1"/>
        <v>77470392.344608337</v>
      </c>
      <c r="G18" s="663">
        <f t="shared" si="2"/>
        <v>3214601.3201908781</v>
      </c>
      <c r="H18" s="664">
        <f t="shared" si="5"/>
        <v>18356866.967306346</v>
      </c>
      <c r="I18" s="664">
        <f t="shared" si="6"/>
        <v>21571468.287497222</v>
      </c>
      <c r="J18" s="665">
        <f t="shared" si="3"/>
        <v>79649270.84339115</v>
      </c>
      <c r="K18" s="599"/>
      <c r="L18" s="666">
        <f t="shared" si="7"/>
        <v>294958876.92857456</v>
      </c>
      <c r="M18" s="667">
        <f t="shared" si="4"/>
        <v>55898924.057111114</v>
      </c>
      <c r="O18" s="260" t="s">
        <v>94</v>
      </c>
      <c r="P18" s="525">
        <f>'Análisis Econ ISCC Nuevo'!AM49</f>
        <v>552474179.26548183</v>
      </c>
      <c r="Q18" s="529">
        <v>544898141.90193486</v>
      </c>
      <c r="R18" s="529">
        <v>510075421.98111641</v>
      </c>
    </row>
    <row r="19" spans="2:18" x14ac:dyDescent="0.25">
      <c r="B19" s="416">
        <v>2025</v>
      </c>
      <c r="C19" s="142">
        <f>'Análisis Econ ISCC Nuevo'!V12</f>
        <v>78407358.680043876</v>
      </c>
      <c r="D19" s="134"/>
      <c r="E19" s="181">
        <f t="shared" si="0"/>
        <v>327736995.98148465</v>
      </c>
      <c r="F19" s="199">
        <f t="shared" si="1"/>
        <v>78407358.680043876</v>
      </c>
      <c r="G19" s="143">
        <f t="shared" si="2"/>
        <v>2612496.0836632298</v>
      </c>
      <c r="H19" s="144">
        <f t="shared" si="5"/>
        <v>18958972.203833994</v>
      </c>
      <c r="I19" s="144">
        <f t="shared" si="6"/>
        <v>21571468.287497222</v>
      </c>
      <c r="J19" s="145">
        <f t="shared" si="3"/>
        <v>60690298.639557153</v>
      </c>
      <c r="K19" s="134"/>
      <c r="L19" s="146">
        <f t="shared" si="7"/>
        <v>351794767.32112122</v>
      </c>
      <c r="M19" s="181">
        <f t="shared" si="4"/>
        <v>56835890.392546654</v>
      </c>
      <c r="O19" s="260" t="s">
        <v>51</v>
      </c>
      <c r="P19" s="525">
        <f>'Análisis Econ ISCC Nuevo'!AM50</f>
        <v>77598715.251823887</v>
      </c>
      <c r="Q19" s="529">
        <v>76534609.836268246</v>
      </c>
      <c r="R19" s="529">
        <v>71643524.553292319</v>
      </c>
    </row>
    <row r="20" spans="2:18" x14ac:dyDescent="0.25">
      <c r="B20" s="635">
        <v>2026</v>
      </c>
      <c r="C20" s="661">
        <f>'Análisis Econ ISCC Nuevo'!V13</f>
        <v>79364459.315035969</v>
      </c>
      <c r="D20" s="599"/>
      <c r="E20" s="667">
        <f t="shared" si="0"/>
        <v>407101455.29652059</v>
      </c>
      <c r="F20" s="662">
        <f t="shared" si="1"/>
        <v>79364459.315035969</v>
      </c>
      <c r="G20" s="663">
        <f t="shared" si="2"/>
        <v>1990641.7953774747</v>
      </c>
      <c r="H20" s="664">
        <f t="shared" si="5"/>
        <v>19580826.492119748</v>
      </c>
      <c r="I20" s="664">
        <f t="shared" si="6"/>
        <v>21571468.287497222</v>
      </c>
      <c r="J20" s="665">
        <f t="shared" si="3"/>
        <v>41109472.147437409</v>
      </c>
      <c r="K20" s="599"/>
      <c r="L20" s="666">
        <f t="shared" si="7"/>
        <v>409587758.34865999</v>
      </c>
      <c r="M20" s="667">
        <f t="shared" si="4"/>
        <v>57792991.027538747</v>
      </c>
      <c r="O20" s="260" t="s">
        <v>52</v>
      </c>
      <c r="P20" s="537">
        <f>'Análisis Econ ISCC Nuevo'!AM51</f>
        <v>3.7409412275978156</v>
      </c>
      <c r="Q20" s="527">
        <v>3.7033549042348395</v>
      </c>
      <c r="R20" s="527">
        <v>3.530592027216839</v>
      </c>
    </row>
    <row r="21" spans="2:18" x14ac:dyDescent="0.25">
      <c r="B21" s="416">
        <v>2027</v>
      </c>
      <c r="C21" s="142">
        <f>'Análisis Econ ISCC Nuevo'!V14</f>
        <v>80504028.539953083</v>
      </c>
      <c r="D21" s="134"/>
      <c r="E21" s="181">
        <f t="shared" si="0"/>
        <v>487605483.8364737</v>
      </c>
      <c r="F21" s="199">
        <f t="shared" si="1"/>
        <v>80504028.539953083</v>
      </c>
      <c r="G21" s="143">
        <f t="shared" si="2"/>
        <v>1348390.6864359472</v>
      </c>
      <c r="H21" s="144">
        <f t="shared" si="5"/>
        <v>20223077.601061277</v>
      </c>
      <c r="I21" s="144">
        <f t="shared" si="6"/>
        <v>21571468.287497222</v>
      </c>
      <c r="J21" s="145">
        <f t="shared" si="3"/>
        <v>20886394.546376131</v>
      </c>
      <c r="K21" s="134"/>
      <c r="L21" s="146">
        <f t="shared" si="7"/>
        <v>468520318.60111582</v>
      </c>
      <c r="M21" s="181">
        <f t="shared" si="4"/>
        <v>58932560.25245586</v>
      </c>
      <c r="O21" s="260" t="s">
        <v>53</v>
      </c>
      <c r="P21" s="526">
        <f>'Análisis Econ ISCC Nuevo'!AM52</f>
        <v>0.1271414821976371</v>
      </c>
      <c r="Q21" s="526">
        <v>0.12466752672442061</v>
      </c>
      <c r="R21" s="528">
        <v>0.11295060506508592</v>
      </c>
    </row>
    <row r="22" spans="2:18" x14ac:dyDescent="0.25">
      <c r="B22" s="635">
        <v>2028</v>
      </c>
      <c r="C22" s="661">
        <f>'Análisis Econ ISCC Nuevo'!V15</f>
        <v>81420328.34183456</v>
      </c>
      <c r="D22" s="599"/>
      <c r="E22" s="667">
        <f t="shared" si="0"/>
        <v>569025812.17830825</v>
      </c>
      <c r="F22" s="662">
        <f t="shared" si="1"/>
        <v>81420328.34183456</v>
      </c>
      <c r="G22" s="663">
        <f t="shared" si="2"/>
        <v>685073.74112113717</v>
      </c>
      <c r="H22" s="664">
        <f t="shared" si="5"/>
        <v>20886394.546376087</v>
      </c>
      <c r="I22" s="664">
        <f t="shared" si="6"/>
        <v>21571468.287497222</v>
      </c>
      <c r="J22" s="665">
        <f t="shared" si="3"/>
        <v>4.4703483581542969E-8</v>
      </c>
      <c r="K22" s="599"/>
      <c r="L22" s="666">
        <f t="shared" si="7"/>
        <v>528369178.65545315</v>
      </c>
      <c r="M22" s="667">
        <f t="shared" si="4"/>
        <v>59848860.054337338</v>
      </c>
      <c r="O22" s="260" t="s">
        <v>54</v>
      </c>
      <c r="P22" s="526">
        <f>'Análisis Econ ISCC Nuevo'!AM53</f>
        <v>0.12416711142690051</v>
      </c>
      <c r="Q22" s="526">
        <v>0.12275229720115366</v>
      </c>
      <c r="R22" s="528">
        <v>0.11560899406923775</v>
      </c>
    </row>
    <row r="23" spans="2:18" x14ac:dyDescent="0.25">
      <c r="B23" s="416">
        <v>2029</v>
      </c>
      <c r="C23" s="142">
        <f>'Análisis Econ ISCC Nuevo'!V16</f>
        <v>82454849.956753418</v>
      </c>
      <c r="D23" s="134"/>
      <c r="E23" s="181">
        <f t="shared" si="0"/>
        <v>651480662.13506162</v>
      </c>
      <c r="F23" s="199">
        <f t="shared" si="1"/>
        <v>82454849.956753418</v>
      </c>
      <c r="G23" s="143"/>
      <c r="H23" s="147">
        <f>SUM(H13:H22)</f>
        <v>181407305.02810064</v>
      </c>
      <c r="I23" s="144"/>
      <c r="J23" s="145"/>
      <c r="K23" s="134"/>
      <c r="L23" s="146">
        <f t="shared" si="7"/>
        <v>610824028.61220658</v>
      </c>
      <c r="M23" s="181">
        <f t="shared" si="4"/>
        <v>82454849.956753418</v>
      </c>
      <c r="O23" s="260" t="s">
        <v>56</v>
      </c>
      <c r="P23" s="527">
        <f>'Análisis Econ ISCC Nuevo'!AM54</f>
        <v>8.8414545511239737</v>
      </c>
      <c r="Q23" s="527">
        <v>9.0009673154712484</v>
      </c>
      <c r="R23" s="527">
        <v>9.8610907056930284</v>
      </c>
    </row>
    <row r="24" spans="2:18" x14ac:dyDescent="0.25">
      <c r="B24" s="635">
        <v>2030</v>
      </c>
      <c r="C24" s="661">
        <f>'Análisis Econ ISCC Nuevo'!V17</f>
        <v>83449484.053360552</v>
      </c>
      <c r="D24" s="599"/>
      <c r="E24" s="667">
        <f t="shared" si="0"/>
        <v>734930146.1884222</v>
      </c>
      <c r="F24" s="662">
        <f t="shared" si="1"/>
        <v>83449484.053360552</v>
      </c>
      <c r="G24" s="663"/>
      <c r="H24" s="664"/>
      <c r="I24" s="597"/>
      <c r="J24" s="665"/>
      <c r="K24" s="599"/>
      <c r="L24" s="666">
        <f t="shared" si="7"/>
        <v>694273512.66556716</v>
      </c>
      <c r="M24" s="667">
        <f t="shared" si="4"/>
        <v>83449484.053360552</v>
      </c>
    </row>
    <row r="25" spans="2:18" x14ac:dyDescent="0.25">
      <c r="B25" s="416">
        <v>2031</v>
      </c>
      <c r="C25" s="142">
        <f>'Análisis Econ ISCC Nuevo'!V18</f>
        <v>84467238.719364837</v>
      </c>
      <c r="D25" s="134"/>
      <c r="E25" s="181">
        <f t="shared" si="0"/>
        <v>819397384.90778708</v>
      </c>
      <c r="F25" s="199">
        <f t="shared" si="1"/>
        <v>84467238.719364837</v>
      </c>
      <c r="G25" s="143"/>
      <c r="H25" s="144"/>
      <c r="I25" s="122"/>
      <c r="J25" s="145"/>
      <c r="K25" s="134"/>
      <c r="L25" s="146">
        <f t="shared" si="7"/>
        <v>778740751.38493204</v>
      </c>
      <c r="M25" s="181">
        <f t="shared" si="4"/>
        <v>84467238.719364837</v>
      </c>
    </row>
    <row r="26" spans="2:18" x14ac:dyDescent="0.25">
      <c r="B26" s="635">
        <v>2032</v>
      </c>
      <c r="C26" s="661">
        <f>'Análisis Econ ISCC Nuevo'!V19</f>
        <v>85476988.915456966</v>
      </c>
      <c r="D26" s="599"/>
      <c r="E26" s="667">
        <f t="shared" si="0"/>
        <v>904874373.82324409</v>
      </c>
      <c r="F26" s="662">
        <f t="shared" si="1"/>
        <v>85476988.915456966</v>
      </c>
      <c r="G26" s="663"/>
      <c r="H26" s="664"/>
      <c r="I26" s="597"/>
      <c r="J26" s="665"/>
      <c r="K26" s="599"/>
      <c r="L26" s="666">
        <f t="shared" si="7"/>
        <v>864217740.30038905</v>
      </c>
      <c r="M26" s="667">
        <f t="shared" si="4"/>
        <v>85476988.915456966</v>
      </c>
    </row>
    <row r="27" spans="2:18" x14ac:dyDescent="0.25">
      <c r="B27" s="416">
        <v>2033</v>
      </c>
      <c r="C27" s="142">
        <f>'Análisis Econ ISCC Nuevo'!V20</f>
        <v>86626622.249713212</v>
      </c>
      <c r="D27" s="134"/>
      <c r="E27" s="181">
        <f t="shared" si="0"/>
        <v>991500996.07295728</v>
      </c>
      <c r="F27" s="199">
        <f t="shared" si="1"/>
        <v>86626622.249713212</v>
      </c>
      <c r="G27" s="143"/>
      <c r="H27" s="144"/>
      <c r="I27" s="122"/>
      <c r="J27" s="145"/>
      <c r="K27" s="134"/>
      <c r="L27" s="146">
        <f t="shared" si="7"/>
        <v>950844362.55010223</v>
      </c>
      <c r="M27" s="181">
        <f t="shared" si="4"/>
        <v>86626622.249713212</v>
      </c>
    </row>
    <row r="28" spans="2:18" x14ac:dyDescent="0.25">
      <c r="B28" s="635">
        <v>2034</v>
      </c>
      <c r="C28" s="661">
        <f>'Análisis Econ ISCC Nuevo'!V21</f>
        <v>87709394.980575576</v>
      </c>
      <c r="D28" s="599"/>
      <c r="E28" s="667">
        <f t="shared" si="0"/>
        <v>1079210391.0535328</v>
      </c>
      <c r="F28" s="662">
        <f t="shared" si="1"/>
        <v>87709394.980575576</v>
      </c>
      <c r="G28" s="597"/>
      <c r="H28" s="597"/>
      <c r="I28" s="597"/>
      <c r="J28" s="598"/>
      <c r="K28" s="599"/>
      <c r="L28" s="666">
        <f t="shared" si="7"/>
        <v>1038553757.5306778</v>
      </c>
      <c r="M28" s="667">
        <f t="shared" si="4"/>
        <v>87709394.980575576</v>
      </c>
    </row>
    <row r="29" spans="2:18" x14ac:dyDescent="0.25">
      <c r="B29" s="182">
        <v>2035</v>
      </c>
      <c r="C29" s="148">
        <f>'Análisis Econ ISCC Nuevo'!V22</f>
        <v>88867150.804389328</v>
      </c>
      <c r="D29" s="130"/>
      <c r="E29" s="183">
        <f t="shared" si="0"/>
        <v>1168077541.8579221</v>
      </c>
      <c r="F29" s="200">
        <f t="shared" si="1"/>
        <v>88867150.804389328</v>
      </c>
      <c r="G29" s="138"/>
      <c r="H29" s="138"/>
      <c r="I29" s="138"/>
      <c r="J29" s="125"/>
      <c r="K29" s="130"/>
      <c r="L29" s="149">
        <f t="shared" si="7"/>
        <v>1127420908.335067</v>
      </c>
      <c r="M29" s="183">
        <f t="shared" si="4"/>
        <v>88867150.804389328</v>
      </c>
    </row>
    <row r="30" spans="2:18" x14ac:dyDescent="0.25">
      <c r="B30" s="184" t="s">
        <v>96</v>
      </c>
      <c r="C30" s="207">
        <f>NPV(E3,C13:C29)</f>
        <v>555564598.14417124</v>
      </c>
      <c r="D30" s="122"/>
      <c r="E30" s="186"/>
      <c r="F30" s="201"/>
      <c r="G30" s="122"/>
      <c r="H30" s="122"/>
      <c r="I30" s="122"/>
      <c r="J30" s="202" t="s">
        <v>96</v>
      </c>
      <c r="K30" s="122"/>
      <c r="L30" s="122"/>
      <c r="M30" s="203">
        <f>NPV(E3,M13:M29)</f>
        <v>433680991.26951981</v>
      </c>
    </row>
    <row r="31" spans="2:18" ht="15.75" thickBot="1" x14ac:dyDescent="0.3">
      <c r="B31" s="187" t="s">
        <v>95</v>
      </c>
      <c r="C31" s="208">
        <f>C30+D12</f>
        <v>354000925.89072609</v>
      </c>
      <c r="D31" s="189"/>
      <c r="E31" s="190"/>
      <c r="F31" s="204"/>
      <c r="G31" s="189"/>
      <c r="H31" s="189"/>
      <c r="I31" s="189"/>
      <c r="J31" s="205" t="s">
        <v>95</v>
      </c>
      <c r="K31" s="205"/>
      <c r="L31" s="205"/>
      <c r="M31" s="209">
        <f>M30+K12</f>
        <v>407175368.36819178</v>
      </c>
    </row>
    <row r="33" spans="2:13" ht="15.75" thickBot="1" x14ac:dyDescent="0.3"/>
    <row r="34" spans="2:13" x14ac:dyDescent="0.25">
      <c r="B34" s="806" t="s">
        <v>119</v>
      </c>
      <c r="C34" s="807"/>
      <c r="D34" s="807"/>
      <c r="E34" s="808"/>
      <c r="F34" s="809" t="s">
        <v>241</v>
      </c>
      <c r="G34" s="810"/>
      <c r="H34" s="810"/>
      <c r="I34" s="810"/>
      <c r="J34" s="810"/>
      <c r="K34" s="810"/>
      <c r="L34" s="810"/>
      <c r="M34" s="811"/>
    </row>
    <row r="35" spans="2:13" x14ac:dyDescent="0.25">
      <c r="B35" s="812" t="s">
        <v>77</v>
      </c>
      <c r="C35" s="788" t="s">
        <v>78</v>
      </c>
      <c r="D35" s="863" t="s">
        <v>79</v>
      </c>
      <c r="E35" s="865">
        <v>0.12</v>
      </c>
      <c r="F35" s="816" t="s">
        <v>80</v>
      </c>
      <c r="G35" s="117"/>
      <c r="H35" s="118"/>
      <c r="I35" s="118"/>
      <c r="J35" s="119"/>
      <c r="K35" s="818">
        <f>(1-H37)*D44</f>
        <v>-20156367.225344513</v>
      </c>
      <c r="L35" s="117" t="s">
        <v>242</v>
      </c>
      <c r="M35" s="194">
        <v>150</v>
      </c>
    </row>
    <row r="36" spans="2:13" x14ac:dyDescent="0.25">
      <c r="B36" s="813"/>
      <c r="C36" s="789"/>
      <c r="D36" s="864"/>
      <c r="E36" s="866"/>
      <c r="F36" s="817"/>
      <c r="G36" s="120" t="s">
        <v>81</v>
      </c>
      <c r="H36" s="122"/>
      <c r="I36" s="122"/>
      <c r="J36" s="123">
        <f>$M$36+M35/10000</f>
        <v>3.8400000000000004E-2</v>
      </c>
      <c r="K36" s="819"/>
      <c r="L36" s="124" t="s">
        <v>243</v>
      </c>
      <c r="M36" s="510">
        <v>2.3400000000000001E-2</v>
      </c>
    </row>
    <row r="37" spans="2:13" x14ac:dyDescent="0.25">
      <c r="B37" s="813"/>
      <c r="C37" s="789"/>
      <c r="D37" s="126"/>
      <c r="E37" s="804" t="s">
        <v>82</v>
      </c>
      <c r="F37" s="192">
        <v>0.02</v>
      </c>
      <c r="G37" s="120" t="s">
        <v>83</v>
      </c>
      <c r="H37" s="127">
        <v>0.9</v>
      </c>
      <c r="I37" s="128">
        <f>H37*D44</f>
        <v>-181407305.02810067</v>
      </c>
      <c r="J37" s="129"/>
      <c r="K37" s="820"/>
      <c r="L37" s="867" t="s">
        <v>55</v>
      </c>
      <c r="M37" s="823" t="s">
        <v>78</v>
      </c>
    </row>
    <row r="38" spans="2:13" x14ac:dyDescent="0.25">
      <c r="B38" s="175" t="s">
        <v>85</v>
      </c>
      <c r="C38" s="790"/>
      <c r="D38" s="130"/>
      <c r="E38" s="805"/>
      <c r="F38" s="182" t="s">
        <v>86</v>
      </c>
      <c r="G38" s="131" t="s">
        <v>87</v>
      </c>
      <c r="H38" s="132" t="s">
        <v>88</v>
      </c>
      <c r="I38" s="132" t="s">
        <v>89</v>
      </c>
      <c r="J38" s="133" t="s">
        <v>90</v>
      </c>
      <c r="K38" s="821"/>
      <c r="L38" s="868"/>
      <c r="M38" s="824"/>
    </row>
    <row r="39" spans="2:13" x14ac:dyDescent="0.25">
      <c r="B39" s="176">
        <v>-5</v>
      </c>
      <c r="C39" s="126"/>
      <c r="D39" s="126"/>
      <c r="E39" s="177"/>
      <c r="F39" s="193"/>
      <c r="G39" s="118"/>
      <c r="H39" s="118"/>
      <c r="I39" s="118"/>
      <c r="J39" s="119"/>
      <c r="K39" s="126"/>
      <c r="L39" s="117"/>
      <c r="M39" s="194"/>
    </row>
    <row r="40" spans="2:13" x14ac:dyDescent="0.25">
      <c r="B40" s="175">
        <v>-4</v>
      </c>
      <c r="C40" s="134"/>
      <c r="D40" s="134"/>
      <c r="E40" s="178"/>
      <c r="F40" s="195">
        <f>I37*F37*-1</f>
        <v>3628146.1005620137</v>
      </c>
      <c r="G40" s="122"/>
      <c r="H40" s="135" t="s">
        <v>97</v>
      </c>
      <c r="I40" s="122"/>
      <c r="J40" s="121"/>
      <c r="K40" s="134"/>
      <c r="L40" s="120"/>
      <c r="M40" s="186"/>
    </row>
    <row r="41" spans="2:13" x14ac:dyDescent="0.25">
      <c r="B41" s="175">
        <v>-3</v>
      </c>
      <c r="C41" s="134"/>
      <c r="D41" s="134"/>
      <c r="E41" s="178"/>
      <c r="F41" s="195">
        <f>I37*G41*-1</f>
        <v>1814073.0502810068</v>
      </c>
      <c r="G41" s="136">
        <v>0.01</v>
      </c>
      <c r="H41" s="122" t="s">
        <v>92</v>
      </c>
      <c r="I41" s="122"/>
      <c r="J41" s="121"/>
      <c r="K41" s="134"/>
      <c r="L41" s="120"/>
      <c r="M41" s="186"/>
    </row>
    <row r="42" spans="2:13" x14ac:dyDescent="0.25">
      <c r="B42" s="175">
        <v>-2</v>
      </c>
      <c r="C42" s="134"/>
      <c r="D42" s="134"/>
      <c r="E42" s="178"/>
      <c r="F42" s="196">
        <f>I37*G42*-1</f>
        <v>907036.52514050342</v>
      </c>
      <c r="G42" s="137">
        <v>5.0000000000000001E-3</v>
      </c>
      <c r="H42" s="122" t="s">
        <v>93</v>
      </c>
      <c r="I42" s="122"/>
      <c r="J42" s="121"/>
      <c r="K42" s="134"/>
      <c r="L42" s="120"/>
      <c r="M42" s="186"/>
    </row>
    <row r="43" spans="2:13" x14ac:dyDescent="0.25">
      <c r="B43" s="175">
        <v>-1</v>
      </c>
      <c r="C43" s="134"/>
      <c r="D43" s="134"/>
      <c r="E43" s="178"/>
      <c r="F43" s="197"/>
      <c r="G43" s="138"/>
      <c r="H43" s="138"/>
      <c r="I43" s="138"/>
      <c r="J43" s="125"/>
      <c r="K43" s="130"/>
      <c r="L43" s="124"/>
      <c r="M43" s="191"/>
    </row>
    <row r="44" spans="2:13" x14ac:dyDescent="0.25">
      <c r="B44" s="416">
        <v>2018</v>
      </c>
      <c r="C44" s="134"/>
      <c r="D44" s="139">
        <f>'Análisis Econ ISCC Nuevo'!V5</f>
        <v>-201563672.25344518</v>
      </c>
      <c r="E44" s="180">
        <f>D44</f>
        <v>-201563672.25344518</v>
      </c>
      <c r="F44" s="198">
        <f>E44</f>
        <v>-201563672.25344518</v>
      </c>
      <c r="G44" s="118"/>
      <c r="H44" s="118"/>
      <c r="I44" s="118"/>
      <c r="J44" s="140">
        <f>I37*-1</f>
        <v>181407305.02810067</v>
      </c>
      <c r="K44" s="141">
        <f>K35-(F40+F41+F42)</f>
        <v>-26505622.901328035</v>
      </c>
      <c r="L44" s="141">
        <f>K44</f>
        <v>-26505622.901328035</v>
      </c>
      <c r="M44" s="536">
        <f>K44</f>
        <v>-26505622.901328035</v>
      </c>
    </row>
    <row r="45" spans="2:13" x14ac:dyDescent="0.25">
      <c r="B45" s="416">
        <v>2019</v>
      </c>
      <c r="C45" s="142">
        <f>'Análisis Econ ISCC Nuevo'!V6</f>
        <v>72947284.805418268</v>
      </c>
      <c r="D45" s="134"/>
      <c r="E45" s="180">
        <f>E44+C45</f>
        <v>-128616387.44802691</v>
      </c>
      <c r="F45" s="199">
        <f>C45</f>
        <v>72947284.805418268</v>
      </c>
      <c r="G45" s="143">
        <f>J44*$J$36</f>
        <v>6966040.5130790668</v>
      </c>
      <c r="H45" s="144">
        <f>I45-G45</f>
        <v>15222048.900326248</v>
      </c>
      <c r="I45" s="144">
        <f>PMT(J36,10,-J44,,0)</f>
        <v>22188089.413405314</v>
      </c>
      <c r="J45" s="145">
        <f>J44-H45</f>
        <v>166185256.12777442</v>
      </c>
      <c r="K45" s="134"/>
      <c r="L45" s="146">
        <f>M45+K44</f>
        <v>24253572.490684919</v>
      </c>
      <c r="M45" s="181">
        <f>F45-I45</f>
        <v>50759195.392012954</v>
      </c>
    </row>
    <row r="46" spans="2:13" x14ac:dyDescent="0.25">
      <c r="B46" s="416">
        <v>2020</v>
      </c>
      <c r="C46" s="142">
        <f>'Análisis Econ ISCC Nuevo'!V7</f>
        <v>73776487.39382486</v>
      </c>
      <c r="D46" s="134"/>
      <c r="E46" s="180">
        <f t="shared" ref="E46:E61" si="8">E45+C46</f>
        <v>-54839900.05420205</v>
      </c>
      <c r="F46" s="199">
        <f t="shared" ref="F46:F61" si="9">C46</f>
        <v>73776487.39382486</v>
      </c>
      <c r="G46" s="143">
        <f t="shared" ref="G46:G54" si="10">J45*$J$36</f>
        <v>6381513.8353065383</v>
      </c>
      <c r="H46" s="144">
        <f>I46-G46</f>
        <v>15806575.578098776</v>
      </c>
      <c r="I46" s="144">
        <f>I45</f>
        <v>22188089.413405314</v>
      </c>
      <c r="J46" s="145">
        <f t="shared" ref="J46:J54" si="11">J45-H46</f>
        <v>150378680.54967564</v>
      </c>
      <c r="K46" s="134"/>
      <c r="L46" s="146">
        <f>M46+L45</f>
        <v>75841970.471104473</v>
      </c>
      <c r="M46" s="181">
        <f t="shared" ref="M46:M61" si="12">F46-I46</f>
        <v>51588397.980419546</v>
      </c>
    </row>
    <row r="47" spans="2:13" x14ac:dyDescent="0.25">
      <c r="B47" s="416">
        <v>2021</v>
      </c>
      <c r="C47" s="142">
        <f>'Análisis Econ ISCC Nuevo'!V8</f>
        <v>74646504.946415797</v>
      </c>
      <c r="D47" s="134"/>
      <c r="E47" s="181">
        <f t="shared" si="8"/>
        <v>19806604.892213747</v>
      </c>
      <c r="F47" s="199">
        <f t="shared" si="9"/>
        <v>74646504.946415797</v>
      </c>
      <c r="G47" s="143">
        <f t="shared" si="10"/>
        <v>5774541.333107545</v>
      </c>
      <c r="H47" s="144">
        <f t="shared" ref="H47:H54" si="13">I47-G47</f>
        <v>16413548.080297768</v>
      </c>
      <c r="I47" s="144">
        <f t="shared" ref="I47:I54" si="14">I46</f>
        <v>22188089.413405314</v>
      </c>
      <c r="J47" s="145">
        <f t="shared" si="11"/>
        <v>133965132.46937788</v>
      </c>
      <c r="K47" s="134"/>
      <c r="L47" s="146">
        <f t="shared" ref="L47:L61" si="15">M47+L46</f>
        <v>128300386.00411496</v>
      </c>
      <c r="M47" s="181">
        <f t="shared" si="12"/>
        <v>52458415.533010483</v>
      </c>
    </row>
    <row r="48" spans="2:13" x14ac:dyDescent="0.25">
      <c r="B48" s="416">
        <v>2022</v>
      </c>
      <c r="C48" s="142">
        <f>'Análisis Econ ISCC Nuevo'!V9</f>
        <v>75549998.485555246</v>
      </c>
      <c r="D48" s="134"/>
      <c r="E48" s="211">
        <f t="shared" si="8"/>
        <v>95356603.377768993</v>
      </c>
      <c r="F48" s="199">
        <f t="shared" si="9"/>
        <v>75549998.485555246</v>
      </c>
      <c r="G48" s="143">
        <f t="shared" si="10"/>
        <v>5144261.0868241107</v>
      </c>
      <c r="H48" s="144">
        <f t="shared" si="13"/>
        <v>17043828.326581202</v>
      </c>
      <c r="I48" s="144">
        <f t="shared" si="14"/>
        <v>22188089.413405314</v>
      </c>
      <c r="J48" s="145">
        <f t="shared" si="11"/>
        <v>116921304.14279667</v>
      </c>
      <c r="K48" s="134"/>
      <c r="L48" s="146">
        <f t="shared" si="15"/>
        <v>181662295.07626489</v>
      </c>
      <c r="M48" s="181">
        <f t="shared" si="12"/>
        <v>53361909.072149932</v>
      </c>
    </row>
    <row r="49" spans="2:13" x14ac:dyDescent="0.25">
      <c r="B49" s="416">
        <v>2023</v>
      </c>
      <c r="C49" s="142">
        <f>'Análisis Econ ISCC Nuevo'!V10</f>
        <v>76502641.579063445</v>
      </c>
      <c r="D49" s="134"/>
      <c r="E49" s="181">
        <f t="shared" si="8"/>
        <v>171859244.95683244</v>
      </c>
      <c r="F49" s="199">
        <f t="shared" si="9"/>
        <v>76502641.579063445</v>
      </c>
      <c r="G49" s="143">
        <f t="shared" si="10"/>
        <v>4489778.0790833924</v>
      </c>
      <c r="H49" s="144">
        <f t="shared" si="13"/>
        <v>17698311.334321924</v>
      </c>
      <c r="I49" s="144">
        <f t="shared" si="14"/>
        <v>22188089.413405314</v>
      </c>
      <c r="J49" s="145">
        <f t="shared" si="11"/>
        <v>99222992.808474749</v>
      </c>
      <c r="K49" s="134"/>
      <c r="L49" s="146">
        <f t="shared" si="15"/>
        <v>235976847.24192303</v>
      </c>
      <c r="M49" s="181">
        <f t="shared" si="12"/>
        <v>54314552.165658131</v>
      </c>
    </row>
    <row r="50" spans="2:13" x14ac:dyDescent="0.25">
      <c r="B50" s="416">
        <v>2024</v>
      </c>
      <c r="C50" s="142">
        <f>'Análisis Econ ISCC Nuevo'!V11</f>
        <v>77470392.344608337</v>
      </c>
      <c r="D50" s="134"/>
      <c r="E50" s="181">
        <f t="shared" si="8"/>
        <v>249329637.30144078</v>
      </c>
      <c r="F50" s="199">
        <f t="shared" si="9"/>
        <v>77470392.344608337</v>
      </c>
      <c r="G50" s="143">
        <f t="shared" si="10"/>
        <v>3810162.9238454308</v>
      </c>
      <c r="H50" s="144">
        <f t="shared" si="13"/>
        <v>18377926.489559881</v>
      </c>
      <c r="I50" s="144">
        <f t="shared" si="14"/>
        <v>22188089.413405314</v>
      </c>
      <c r="J50" s="145">
        <f t="shared" si="11"/>
        <v>80845066.31891486</v>
      </c>
      <c r="K50" s="134"/>
      <c r="L50" s="146">
        <f t="shared" si="15"/>
        <v>291259150.17312604</v>
      </c>
      <c r="M50" s="181">
        <f t="shared" si="12"/>
        <v>55282302.931203023</v>
      </c>
    </row>
    <row r="51" spans="2:13" x14ac:dyDescent="0.25">
      <c r="B51" s="416">
        <v>2025</v>
      </c>
      <c r="C51" s="142">
        <f>'Análisis Econ ISCC Nuevo'!V12</f>
        <v>78407358.680043876</v>
      </c>
      <c r="D51" s="134"/>
      <c r="E51" s="181">
        <f t="shared" si="8"/>
        <v>327736995.98148465</v>
      </c>
      <c r="F51" s="199">
        <f t="shared" si="9"/>
        <v>78407358.680043876</v>
      </c>
      <c r="G51" s="143">
        <f t="shared" si="10"/>
        <v>3104450.546646331</v>
      </c>
      <c r="H51" s="144">
        <f t="shared" si="13"/>
        <v>19083638.866758984</v>
      </c>
      <c r="I51" s="144">
        <f t="shared" si="14"/>
        <v>22188089.413405314</v>
      </c>
      <c r="J51" s="145">
        <f t="shared" si="11"/>
        <v>61761427.452155873</v>
      </c>
      <c r="K51" s="134"/>
      <c r="L51" s="146">
        <f t="shared" si="15"/>
        <v>347478419.43976462</v>
      </c>
      <c r="M51" s="181">
        <f t="shared" si="12"/>
        <v>56219269.266638562</v>
      </c>
    </row>
    <row r="52" spans="2:13" x14ac:dyDescent="0.25">
      <c r="B52" s="416">
        <v>2026</v>
      </c>
      <c r="C52" s="142">
        <f>'Análisis Econ ISCC Nuevo'!V13</f>
        <v>79364459.315035969</v>
      </c>
      <c r="D52" s="134"/>
      <c r="E52" s="181">
        <f t="shared" si="8"/>
        <v>407101455.29652059</v>
      </c>
      <c r="F52" s="199">
        <f t="shared" si="9"/>
        <v>79364459.315035969</v>
      </c>
      <c r="G52" s="143">
        <f t="shared" si="10"/>
        <v>2371638.8141627857</v>
      </c>
      <c r="H52" s="144">
        <f t="shared" si="13"/>
        <v>19816450.599242527</v>
      </c>
      <c r="I52" s="144">
        <f t="shared" si="14"/>
        <v>22188089.413405314</v>
      </c>
      <c r="J52" s="145">
        <f t="shared" si="11"/>
        <v>41944976.85291335</v>
      </c>
      <c r="K52" s="134"/>
      <c r="L52" s="146">
        <f t="shared" si="15"/>
        <v>404654789.34139526</v>
      </c>
      <c r="M52" s="181">
        <f t="shared" si="12"/>
        <v>57176369.901630655</v>
      </c>
    </row>
    <row r="53" spans="2:13" x14ac:dyDescent="0.25">
      <c r="B53" s="416">
        <v>2027</v>
      </c>
      <c r="C53" s="142">
        <f>'Análisis Econ ISCC Nuevo'!V14</f>
        <v>80504028.539953083</v>
      </c>
      <c r="D53" s="134"/>
      <c r="E53" s="181">
        <f t="shared" si="8"/>
        <v>487605483.8364737</v>
      </c>
      <c r="F53" s="199">
        <f t="shared" si="9"/>
        <v>80504028.539953083</v>
      </c>
      <c r="G53" s="143">
        <f t="shared" si="10"/>
        <v>1610687.1111518727</v>
      </c>
      <c r="H53" s="144">
        <f t="shared" si="13"/>
        <v>20577402.30225344</v>
      </c>
      <c r="I53" s="144">
        <f t="shared" si="14"/>
        <v>22188089.413405314</v>
      </c>
      <c r="J53" s="145">
        <f t="shared" si="11"/>
        <v>21367574.55065991</v>
      </c>
      <c r="K53" s="134"/>
      <c r="L53" s="146">
        <f t="shared" si="15"/>
        <v>462970728.46794301</v>
      </c>
      <c r="M53" s="181">
        <f t="shared" si="12"/>
        <v>58315939.126547769</v>
      </c>
    </row>
    <row r="54" spans="2:13" x14ac:dyDescent="0.25">
      <c r="B54" s="416">
        <v>2028</v>
      </c>
      <c r="C54" s="142">
        <f>'Análisis Econ ISCC Nuevo'!V15</f>
        <v>81420328.34183456</v>
      </c>
      <c r="D54" s="134"/>
      <c r="E54" s="181">
        <f t="shared" si="8"/>
        <v>569025812.17830825</v>
      </c>
      <c r="F54" s="199">
        <f t="shared" si="9"/>
        <v>81420328.34183456</v>
      </c>
      <c r="G54" s="143">
        <f t="shared" si="10"/>
        <v>820514.86274534056</v>
      </c>
      <c r="H54" s="144">
        <f t="shared" si="13"/>
        <v>21367574.550659973</v>
      </c>
      <c r="I54" s="144">
        <f t="shared" si="14"/>
        <v>22188089.413405314</v>
      </c>
      <c r="J54" s="145">
        <f t="shared" si="11"/>
        <v>-6.3329935073852539E-8</v>
      </c>
      <c r="K54" s="134"/>
      <c r="L54" s="146">
        <f t="shared" si="15"/>
        <v>522202967.39637226</v>
      </c>
      <c r="M54" s="181">
        <f t="shared" si="12"/>
        <v>59232238.928429246</v>
      </c>
    </row>
    <row r="55" spans="2:13" x14ac:dyDescent="0.25">
      <c r="B55" s="416">
        <v>2029</v>
      </c>
      <c r="C55" s="142">
        <f>'Análisis Econ ISCC Nuevo'!V16</f>
        <v>82454849.956753418</v>
      </c>
      <c r="D55" s="134"/>
      <c r="E55" s="181">
        <f t="shared" si="8"/>
        <v>651480662.13506162</v>
      </c>
      <c r="F55" s="199">
        <f t="shared" si="9"/>
        <v>82454849.956753418</v>
      </c>
      <c r="G55" s="143"/>
      <c r="H55" s="147">
        <f>SUM(H45:H54)</f>
        <v>181407305.02810076</v>
      </c>
      <c r="I55" s="144"/>
      <c r="J55" s="145"/>
      <c r="K55" s="134"/>
      <c r="L55" s="146">
        <f t="shared" si="15"/>
        <v>604657817.35312569</v>
      </c>
      <c r="M55" s="181">
        <f t="shared" si="12"/>
        <v>82454849.956753418</v>
      </c>
    </row>
    <row r="56" spans="2:13" x14ac:dyDescent="0.25">
      <c r="B56" s="416">
        <v>2030</v>
      </c>
      <c r="C56" s="142">
        <f>'Análisis Econ ISCC Nuevo'!V17</f>
        <v>83449484.053360552</v>
      </c>
      <c r="D56" s="134"/>
      <c r="E56" s="181">
        <f t="shared" si="8"/>
        <v>734930146.1884222</v>
      </c>
      <c r="F56" s="199">
        <f t="shared" si="9"/>
        <v>83449484.053360552</v>
      </c>
      <c r="G56" s="143"/>
      <c r="H56" s="144"/>
      <c r="I56" s="122"/>
      <c r="J56" s="145"/>
      <c r="K56" s="134"/>
      <c r="L56" s="146">
        <f t="shared" si="15"/>
        <v>688107301.40648627</v>
      </c>
      <c r="M56" s="181">
        <f t="shared" si="12"/>
        <v>83449484.053360552</v>
      </c>
    </row>
    <row r="57" spans="2:13" x14ac:dyDescent="0.25">
      <c r="B57" s="416">
        <v>2031</v>
      </c>
      <c r="C57" s="142">
        <f>'Análisis Econ ISCC Nuevo'!V18</f>
        <v>84467238.719364837</v>
      </c>
      <c r="D57" s="134"/>
      <c r="E57" s="181">
        <f t="shared" si="8"/>
        <v>819397384.90778708</v>
      </c>
      <c r="F57" s="199">
        <f t="shared" si="9"/>
        <v>84467238.719364837</v>
      </c>
      <c r="G57" s="143"/>
      <c r="H57" s="144"/>
      <c r="I57" s="122"/>
      <c r="J57" s="145"/>
      <c r="K57" s="134"/>
      <c r="L57" s="146">
        <f t="shared" si="15"/>
        <v>772574540.12585115</v>
      </c>
      <c r="M57" s="181">
        <f t="shared" si="12"/>
        <v>84467238.719364837</v>
      </c>
    </row>
    <row r="58" spans="2:13" x14ac:dyDescent="0.25">
      <c r="B58" s="416">
        <v>2032</v>
      </c>
      <c r="C58" s="142">
        <f>'Análisis Econ ISCC Nuevo'!V19</f>
        <v>85476988.915456966</v>
      </c>
      <c r="D58" s="134"/>
      <c r="E58" s="181">
        <f t="shared" si="8"/>
        <v>904874373.82324409</v>
      </c>
      <c r="F58" s="199">
        <f t="shared" si="9"/>
        <v>85476988.915456966</v>
      </c>
      <c r="G58" s="143"/>
      <c r="H58" s="144"/>
      <c r="I58" s="122"/>
      <c r="J58" s="145"/>
      <c r="K58" s="134"/>
      <c r="L58" s="146">
        <f t="shared" si="15"/>
        <v>858051529.04130816</v>
      </c>
      <c r="M58" s="181">
        <f t="shared" si="12"/>
        <v>85476988.915456966</v>
      </c>
    </row>
    <row r="59" spans="2:13" x14ac:dyDescent="0.25">
      <c r="B59" s="416">
        <v>2033</v>
      </c>
      <c r="C59" s="142">
        <f>'Análisis Econ ISCC Nuevo'!V20</f>
        <v>86626622.249713212</v>
      </c>
      <c r="D59" s="134"/>
      <c r="E59" s="181">
        <f t="shared" si="8"/>
        <v>991500996.07295728</v>
      </c>
      <c r="F59" s="199">
        <f t="shared" si="9"/>
        <v>86626622.249713212</v>
      </c>
      <c r="G59" s="143"/>
      <c r="H59" s="144"/>
      <c r="I59" s="122"/>
      <c r="J59" s="145"/>
      <c r="K59" s="134"/>
      <c r="L59" s="146">
        <f t="shared" si="15"/>
        <v>944678151.29102135</v>
      </c>
      <c r="M59" s="181">
        <f t="shared" si="12"/>
        <v>86626622.249713212</v>
      </c>
    </row>
    <row r="60" spans="2:13" x14ac:dyDescent="0.25">
      <c r="B60" s="416">
        <v>2034</v>
      </c>
      <c r="C60" s="142">
        <f>'Análisis Econ ISCC Nuevo'!V21</f>
        <v>87709394.980575576</v>
      </c>
      <c r="D60" s="134"/>
      <c r="E60" s="181">
        <f t="shared" si="8"/>
        <v>1079210391.0535328</v>
      </c>
      <c r="F60" s="199">
        <f t="shared" si="9"/>
        <v>87709394.980575576</v>
      </c>
      <c r="G60" s="122"/>
      <c r="H60" s="122"/>
      <c r="I60" s="122"/>
      <c r="J60" s="121"/>
      <c r="K60" s="134"/>
      <c r="L60" s="146">
        <f t="shared" si="15"/>
        <v>1032387546.2715969</v>
      </c>
      <c r="M60" s="181">
        <f t="shared" si="12"/>
        <v>87709394.980575576</v>
      </c>
    </row>
    <row r="61" spans="2:13" x14ac:dyDescent="0.25">
      <c r="B61" s="182">
        <v>2035</v>
      </c>
      <c r="C61" s="148">
        <f>'Análisis Econ ISCC Nuevo'!V22</f>
        <v>88867150.804389328</v>
      </c>
      <c r="D61" s="130"/>
      <c r="E61" s="183">
        <f t="shared" si="8"/>
        <v>1168077541.8579221</v>
      </c>
      <c r="F61" s="200">
        <f t="shared" si="9"/>
        <v>88867150.804389328</v>
      </c>
      <c r="G61" s="138"/>
      <c r="H61" s="138"/>
      <c r="I61" s="138"/>
      <c r="J61" s="125"/>
      <c r="K61" s="130"/>
      <c r="L61" s="149">
        <f t="shared" si="15"/>
        <v>1121254697.0759861</v>
      </c>
      <c r="M61" s="183">
        <f t="shared" si="12"/>
        <v>88867150.804389328</v>
      </c>
    </row>
    <row r="62" spans="2:13" x14ac:dyDescent="0.25">
      <c r="B62" s="184" t="s">
        <v>96</v>
      </c>
      <c r="C62" s="207">
        <f>NPV(E35,C45:C61)</f>
        <v>555564598.14417124</v>
      </c>
      <c r="D62" s="122"/>
      <c r="E62" s="186"/>
      <c r="F62" s="201"/>
      <c r="G62" s="122"/>
      <c r="H62" s="122"/>
      <c r="I62" s="122"/>
      <c r="J62" s="202" t="s">
        <v>96</v>
      </c>
      <c r="K62" s="122"/>
      <c r="L62" s="122"/>
      <c r="M62" s="203">
        <f>NPV(E35,M45:M61)</f>
        <v>430196944.38410932</v>
      </c>
    </row>
    <row r="63" spans="2:13" ht="15.75" thickBot="1" x14ac:dyDescent="0.3">
      <c r="B63" s="187" t="s">
        <v>95</v>
      </c>
      <c r="C63" s="208">
        <f>C62+D44</f>
        <v>354000925.89072609</v>
      </c>
      <c r="D63" s="189"/>
      <c r="E63" s="190"/>
      <c r="F63" s="204"/>
      <c r="G63" s="189"/>
      <c r="H63" s="189"/>
      <c r="I63" s="189"/>
      <c r="J63" s="205" t="s">
        <v>95</v>
      </c>
      <c r="K63" s="205"/>
      <c r="L63" s="205"/>
      <c r="M63" s="209">
        <f>M62+K44</f>
        <v>403691321.48278129</v>
      </c>
    </row>
    <row r="65" spans="2:13" ht="15.75" thickBot="1" x14ac:dyDescent="0.3"/>
    <row r="66" spans="2:13" x14ac:dyDescent="0.25">
      <c r="B66" s="791" t="s">
        <v>286</v>
      </c>
      <c r="C66" s="792"/>
      <c r="D66" s="792"/>
      <c r="E66" s="792"/>
      <c r="F66" s="792"/>
      <c r="G66" s="792"/>
      <c r="H66" s="792"/>
      <c r="I66" s="792"/>
      <c r="J66" s="792"/>
      <c r="K66" s="792"/>
      <c r="L66" s="792"/>
      <c r="M66" s="793"/>
    </row>
    <row r="67" spans="2:13" x14ac:dyDescent="0.25">
      <c r="B67" s="794" t="s">
        <v>77</v>
      </c>
      <c r="C67" s="782" t="s">
        <v>78</v>
      </c>
      <c r="D67" s="871" t="s">
        <v>79</v>
      </c>
      <c r="E67" s="872">
        <v>0.12</v>
      </c>
      <c r="F67" s="798" t="s">
        <v>80</v>
      </c>
      <c r="G67" s="606"/>
      <c r="H67" s="610"/>
      <c r="I67" s="610"/>
      <c r="J67" s="611"/>
      <c r="K67" s="800">
        <f>(1-H69)*D76</f>
        <v>-20156367.225344513</v>
      </c>
      <c r="L67" s="606" t="s">
        <v>242</v>
      </c>
      <c r="M67" s="607">
        <v>550</v>
      </c>
    </row>
    <row r="68" spans="2:13" x14ac:dyDescent="0.25">
      <c r="B68" s="795"/>
      <c r="C68" s="783"/>
      <c r="D68" s="803"/>
      <c r="E68" s="873"/>
      <c r="F68" s="799"/>
      <c r="G68" s="612" t="s">
        <v>81</v>
      </c>
      <c r="H68" s="613"/>
      <c r="I68" s="613"/>
      <c r="J68" s="614">
        <f>$M$68+M67/10000</f>
        <v>7.8399999999999997E-2</v>
      </c>
      <c r="K68" s="801"/>
      <c r="L68" s="608" t="s">
        <v>243</v>
      </c>
      <c r="M68" s="609">
        <v>2.3400000000000001E-2</v>
      </c>
    </row>
    <row r="69" spans="2:13" x14ac:dyDescent="0.25">
      <c r="B69" s="795"/>
      <c r="C69" s="783"/>
      <c r="D69" s="622"/>
      <c r="E69" s="825" t="s">
        <v>82</v>
      </c>
      <c r="F69" s="615">
        <v>0.02</v>
      </c>
      <c r="G69" s="612" t="s">
        <v>83</v>
      </c>
      <c r="H69" s="616">
        <v>0.9</v>
      </c>
      <c r="I69" s="600">
        <f>H69*D76</f>
        <v>-181407305.02810067</v>
      </c>
      <c r="J69" s="601"/>
      <c r="K69" s="802"/>
      <c r="L69" s="869" t="s">
        <v>251</v>
      </c>
      <c r="M69" s="827" t="s">
        <v>226</v>
      </c>
    </row>
    <row r="70" spans="2:13" x14ac:dyDescent="0.25">
      <c r="B70" s="637" t="s">
        <v>85</v>
      </c>
      <c r="C70" s="784"/>
      <c r="D70" s="632"/>
      <c r="E70" s="826"/>
      <c r="F70" s="617" t="s">
        <v>86</v>
      </c>
      <c r="G70" s="618" t="s">
        <v>87</v>
      </c>
      <c r="H70" s="619" t="s">
        <v>88</v>
      </c>
      <c r="I70" s="619" t="s">
        <v>89</v>
      </c>
      <c r="J70" s="620" t="s">
        <v>90</v>
      </c>
      <c r="K70" s="803"/>
      <c r="L70" s="870"/>
      <c r="M70" s="828"/>
    </row>
    <row r="71" spans="2:13" x14ac:dyDescent="0.25">
      <c r="B71" s="640"/>
      <c r="C71" s="622"/>
      <c r="D71" s="622"/>
      <c r="E71" s="651"/>
      <c r="F71" s="621"/>
      <c r="G71" s="610"/>
      <c r="H71" s="610"/>
      <c r="I71" s="610"/>
      <c r="J71" s="611"/>
      <c r="K71" s="622"/>
      <c r="L71" s="606"/>
      <c r="M71" s="607"/>
    </row>
    <row r="72" spans="2:13" x14ac:dyDescent="0.25">
      <c r="B72" s="637"/>
      <c r="C72" s="625"/>
      <c r="D72" s="625"/>
      <c r="E72" s="652"/>
      <c r="F72" s="623">
        <f>I69*F69*-1</f>
        <v>3628146.1005620137</v>
      </c>
      <c r="G72" s="613"/>
      <c r="H72" s="613" t="s">
        <v>97</v>
      </c>
      <c r="I72" s="613"/>
      <c r="J72" s="624"/>
      <c r="K72" s="625"/>
      <c r="L72" s="612"/>
      <c r="M72" s="653"/>
    </row>
    <row r="73" spans="2:13" x14ac:dyDescent="0.25">
      <c r="B73" s="637"/>
      <c r="C73" s="625"/>
      <c r="D73" s="625"/>
      <c r="E73" s="652"/>
      <c r="F73" s="623">
        <f>I69*G73*-1</f>
        <v>1814073.0502810068</v>
      </c>
      <c r="G73" s="626">
        <v>0.01</v>
      </c>
      <c r="H73" s="613" t="s">
        <v>92</v>
      </c>
      <c r="I73" s="613"/>
      <c r="J73" s="624"/>
      <c r="K73" s="625"/>
      <c r="L73" s="612"/>
      <c r="M73" s="653"/>
    </row>
    <row r="74" spans="2:13" x14ac:dyDescent="0.25">
      <c r="B74" s="637"/>
      <c r="C74" s="625"/>
      <c r="D74" s="625"/>
      <c r="E74" s="652"/>
      <c r="F74" s="627">
        <f>I69*G74*-1</f>
        <v>907036.52514050342</v>
      </c>
      <c r="G74" s="628">
        <v>5.0000000000000001E-3</v>
      </c>
      <c r="H74" s="613" t="s">
        <v>93</v>
      </c>
      <c r="I74" s="613"/>
      <c r="J74" s="624"/>
      <c r="K74" s="625"/>
      <c r="L74" s="612"/>
      <c r="M74" s="653"/>
    </row>
    <row r="75" spans="2:13" x14ac:dyDescent="0.25">
      <c r="B75" s="617"/>
      <c r="C75" s="625"/>
      <c r="D75" s="625"/>
      <c r="E75" s="652"/>
      <c r="F75" s="629"/>
      <c r="G75" s="630"/>
      <c r="H75" s="630"/>
      <c r="I75" s="630"/>
      <c r="J75" s="631"/>
      <c r="K75" s="632"/>
      <c r="L75" s="608"/>
      <c r="M75" s="654"/>
    </row>
    <row r="76" spans="2:13" x14ac:dyDescent="0.25">
      <c r="B76" s="635">
        <v>2018</v>
      </c>
      <c r="C76" s="599"/>
      <c r="D76" s="655">
        <f>'Análisis Econ ISCC Nuevo'!V5</f>
        <v>-201563672.25344518</v>
      </c>
      <c r="E76" s="656">
        <f>D76</f>
        <v>-201563672.25344518</v>
      </c>
      <c r="F76" s="657">
        <f>E76</f>
        <v>-201563672.25344518</v>
      </c>
      <c r="G76" s="596"/>
      <c r="H76" s="596"/>
      <c r="I76" s="596"/>
      <c r="J76" s="658">
        <f>I69*-1</f>
        <v>181407305.02810067</v>
      </c>
      <c r="K76" s="659">
        <f>K67-(F72+F73+F74)</f>
        <v>-26505622.901328035</v>
      </c>
      <c r="L76" s="659">
        <f>K76</f>
        <v>-26505622.901328035</v>
      </c>
      <c r="M76" s="660">
        <f>K76</f>
        <v>-26505622.901328035</v>
      </c>
    </row>
    <row r="77" spans="2:13" x14ac:dyDescent="0.25">
      <c r="B77" s="416">
        <v>2019</v>
      </c>
      <c r="C77" s="142">
        <f>'Análisis Econ ISCC Nuevo'!V6</f>
        <v>72947284.805418268</v>
      </c>
      <c r="D77" s="134"/>
      <c r="E77" s="180">
        <f>E76+C77</f>
        <v>-128616387.44802691</v>
      </c>
      <c r="F77" s="199">
        <f>C77</f>
        <v>72947284.805418268</v>
      </c>
      <c r="G77" s="143">
        <f>J76*$J$68</f>
        <v>14222332.714203091</v>
      </c>
      <c r="H77" s="144">
        <f>I77-G77</f>
        <v>12617922.145544829</v>
      </c>
      <c r="I77" s="144">
        <f>PMT(J68,10,-J76,,0)</f>
        <v>26840254.85974792</v>
      </c>
      <c r="J77" s="145">
        <f>J76-H77</f>
        <v>168789382.88255584</v>
      </c>
      <c r="K77" s="134"/>
      <c r="L77" s="146">
        <f>M77+K76</f>
        <v>19601407.044342317</v>
      </c>
      <c r="M77" s="181">
        <f>F77-I77</f>
        <v>46107029.945670351</v>
      </c>
    </row>
    <row r="78" spans="2:13" x14ac:dyDescent="0.25">
      <c r="B78" s="635">
        <v>2020</v>
      </c>
      <c r="C78" s="661">
        <f>'Análisis Econ ISCC Nuevo'!V7</f>
        <v>73776487.39382486</v>
      </c>
      <c r="D78" s="599"/>
      <c r="E78" s="656">
        <f t="shared" ref="E78:E93" si="16">E77+C78</f>
        <v>-54839900.05420205</v>
      </c>
      <c r="F78" s="662">
        <f t="shared" ref="F78:F93" si="17">C78</f>
        <v>73776487.39382486</v>
      </c>
      <c r="G78" s="663">
        <f t="shared" ref="G78:G85" si="18">J77*$J$68</f>
        <v>13233087.617992377</v>
      </c>
      <c r="H78" s="664">
        <f>I78-G78</f>
        <v>13607167.241755543</v>
      </c>
      <c r="I78" s="664">
        <f>I77</f>
        <v>26840254.85974792</v>
      </c>
      <c r="J78" s="665">
        <f t="shared" ref="J78:J86" si="19">J77-H78</f>
        <v>155182215.6408003</v>
      </c>
      <c r="K78" s="599"/>
      <c r="L78" s="666">
        <f>M78+L77</f>
        <v>66537639.578419261</v>
      </c>
      <c r="M78" s="667">
        <f t="shared" ref="M78:M93" si="20">F78-I78</f>
        <v>46936232.534076944</v>
      </c>
    </row>
    <row r="79" spans="2:13" x14ac:dyDescent="0.25">
      <c r="B79" s="416">
        <v>2021</v>
      </c>
      <c r="C79" s="142">
        <f>'Análisis Econ ISCC Nuevo'!V8</f>
        <v>74646504.946415797</v>
      </c>
      <c r="D79" s="134"/>
      <c r="E79" s="181">
        <f t="shared" si="16"/>
        <v>19806604.892213747</v>
      </c>
      <c r="F79" s="199">
        <f t="shared" si="17"/>
        <v>74646504.946415797</v>
      </c>
      <c r="G79" s="143">
        <f t="shared" si="18"/>
        <v>12166285.706238743</v>
      </c>
      <c r="H79" s="144">
        <f t="shared" ref="H79:H86" si="21">I79-G79</f>
        <v>14673969.153509177</v>
      </c>
      <c r="I79" s="144">
        <f t="shared" ref="I79:I86" si="22">I78</f>
        <v>26840254.85974792</v>
      </c>
      <c r="J79" s="145">
        <f t="shared" si="19"/>
        <v>140508246.48729113</v>
      </c>
      <c r="K79" s="134"/>
      <c r="L79" s="146">
        <f t="shared" ref="L79:L93" si="23">M79+L78</f>
        <v>114343889.66508713</v>
      </c>
      <c r="M79" s="181">
        <f t="shared" si="20"/>
        <v>47806250.08666788</v>
      </c>
    </row>
    <row r="80" spans="2:13" x14ac:dyDescent="0.25">
      <c r="B80" s="635">
        <v>2022</v>
      </c>
      <c r="C80" s="661">
        <f>'Análisis Econ ISCC Nuevo'!V9</f>
        <v>75549998.485555246</v>
      </c>
      <c r="D80" s="599"/>
      <c r="E80" s="668">
        <f t="shared" si="16"/>
        <v>95356603.377768993</v>
      </c>
      <c r="F80" s="662">
        <f t="shared" si="17"/>
        <v>75549998.485555246</v>
      </c>
      <c r="G80" s="663">
        <f t="shared" si="18"/>
        <v>11015846.524603624</v>
      </c>
      <c r="H80" s="664">
        <f t="shared" si="21"/>
        <v>15824408.335144296</v>
      </c>
      <c r="I80" s="664">
        <f t="shared" si="22"/>
        <v>26840254.85974792</v>
      </c>
      <c r="J80" s="665">
        <f t="shared" si="19"/>
        <v>124683838.15214683</v>
      </c>
      <c r="K80" s="599"/>
      <c r="L80" s="666">
        <f t="shared" si="23"/>
        <v>163053633.29089445</v>
      </c>
      <c r="M80" s="667">
        <f t="shared" si="20"/>
        <v>48709743.62580733</v>
      </c>
    </row>
    <row r="81" spans="2:13" x14ac:dyDescent="0.25">
      <c r="B81" s="416">
        <v>2023</v>
      </c>
      <c r="C81" s="142">
        <f>'Análisis Econ ISCC Nuevo'!V10</f>
        <v>76502641.579063445</v>
      </c>
      <c r="D81" s="134"/>
      <c r="E81" s="181">
        <f t="shared" si="16"/>
        <v>171859244.95683244</v>
      </c>
      <c r="F81" s="199">
        <f t="shared" si="17"/>
        <v>76502641.579063445</v>
      </c>
      <c r="G81" s="143">
        <f t="shared" si="18"/>
        <v>9775212.9111283105</v>
      </c>
      <c r="H81" s="144">
        <f t="shared" si="21"/>
        <v>17065041.948619612</v>
      </c>
      <c r="I81" s="144">
        <f t="shared" si="22"/>
        <v>26840254.85974792</v>
      </c>
      <c r="J81" s="145">
        <f t="shared" si="19"/>
        <v>107618796.20352721</v>
      </c>
      <c r="K81" s="134"/>
      <c r="L81" s="146">
        <f t="shared" si="23"/>
        <v>212716020.01020998</v>
      </c>
      <c r="M81" s="181">
        <f t="shared" si="20"/>
        <v>49662386.719315529</v>
      </c>
    </row>
    <row r="82" spans="2:13" x14ac:dyDescent="0.25">
      <c r="B82" s="635">
        <v>2024</v>
      </c>
      <c r="C82" s="661">
        <f>'Análisis Econ ISCC Nuevo'!V11</f>
        <v>77470392.344608337</v>
      </c>
      <c r="D82" s="599"/>
      <c r="E82" s="667">
        <f t="shared" si="16"/>
        <v>249329637.30144078</v>
      </c>
      <c r="F82" s="662">
        <f t="shared" si="17"/>
        <v>77470392.344608337</v>
      </c>
      <c r="G82" s="663">
        <f t="shared" si="18"/>
        <v>8437313.622356534</v>
      </c>
      <c r="H82" s="664">
        <f t="shared" si="21"/>
        <v>18402941.237391386</v>
      </c>
      <c r="I82" s="664">
        <f t="shared" si="22"/>
        <v>26840254.85974792</v>
      </c>
      <c r="J82" s="665">
        <f t="shared" si="19"/>
        <v>89215854.96613583</v>
      </c>
      <c r="K82" s="599"/>
      <c r="L82" s="666">
        <f t="shared" si="23"/>
        <v>263346157.4950704</v>
      </c>
      <c r="M82" s="667">
        <f t="shared" si="20"/>
        <v>50630137.48486042</v>
      </c>
    </row>
    <row r="83" spans="2:13" x14ac:dyDescent="0.25">
      <c r="B83" s="416">
        <v>2025</v>
      </c>
      <c r="C83" s="142">
        <f>'Análisis Econ ISCC Nuevo'!V12</f>
        <v>78407358.680043876</v>
      </c>
      <c r="D83" s="134"/>
      <c r="E83" s="181">
        <f t="shared" si="16"/>
        <v>327736995.98148465</v>
      </c>
      <c r="F83" s="199">
        <f t="shared" si="17"/>
        <v>78407358.680043876</v>
      </c>
      <c r="G83" s="143">
        <f t="shared" si="18"/>
        <v>6994523.0293450486</v>
      </c>
      <c r="H83" s="144">
        <f t="shared" si="21"/>
        <v>19845731.830402873</v>
      </c>
      <c r="I83" s="144">
        <f t="shared" si="22"/>
        <v>26840254.85974792</v>
      </c>
      <c r="J83" s="145">
        <f t="shared" si="19"/>
        <v>69370123.135732949</v>
      </c>
      <c r="K83" s="134"/>
      <c r="L83" s="146">
        <f t="shared" si="23"/>
        <v>314913261.31536639</v>
      </c>
      <c r="M83" s="181">
        <f t="shared" si="20"/>
        <v>51567103.82029596</v>
      </c>
    </row>
    <row r="84" spans="2:13" x14ac:dyDescent="0.25">
      <c r="B84" s="635">
        <v>2026</v>
      </c>
      <c r="C84" s="661">
        <f>'Análisis Econ ISCC Nuevo'!V13</f>
        <v>79364459.315035969</v>
      </c>
      <c r="D84" s="599"/>
      <c r="E84" s="667">
        <f t="shared" si="16"/>
        <v>407101455.29652059</v>
      </c>
      <c r="F84" s="662">
        <f t="shared" si="17"/>
        <v>79364459.315035969</v>
      </c>
      <c r="G84" s="663">
        <f t="shared" si="18"/>
        <v>5438617.6538414629</v>
      </c>
      <c r="H84" s="664">
        <f t="shared" si="21"/>
        <v>21401637.205906458</v>
      </c>
      <c r="I84" s="664">
        <f t="shared" si="22"/>
        <v>26840254.85974792</v>
      </c>
      <c r="J84" s="665">
        <f t="shared" si="19"/>
        <v>47968485.929826491</v>
      </c>
      <c r="K84" s="599"/>
      <c r="L84" s="666">
        <f t="shared" si="23"/>
        <v>367437465.77065444</v>
      </c>
      <c r="M84" s="667">
        <f t="shared" si="20"/>
        <v>52524204.455288053</v>
      </c>
    </row>
    <row r="85" spans="2:13" x14ac:dyDescent="0.25">
      <c r="B85" s="416">
        <v>2027</v>
      </c>
      <c r="C85" s="142">
        <f>'Análisis Econ ISCC Nuevo'!V14</f>
        <v>80504028.539953083</v>
      </c>
      <c r="D85" s="134"/>
      <c r="E85" s="181">
        <f t="shared" si="16"/>
        <v>487605483.8364737</v>
      </c>
      <c r="F85" s="199">
        <f t="shared" si="17"/>
        <v>80504028.539953083</v>
      </c>
      <c r="G85" s="143">
        <f t="shared" si="18"/>
        <v>3760729.2968983967</v>
      </c>
      <c r="H85" s="144">
        <f t="shared" si="21"/>
        <v>23079525.562849522</v>
      </c>
      <c r="I85" s="144">
        <f t="shared" si="22"/>
        <v>26840254.85974792</v>
      </c>
      <c r="J85" s="145">
        <f t="shared" si="19"/>
        <v>24888960.366976969</v>
      </c>
      <c r="K85" s="134"/>
      <c r="L85" s="146">
        <f t="shared" si="23"/>
        <v>421101239.45085961</v>
      </c>
      <c r="M85" s="181">
        <f t="shared" si="20"/>
        <v>53663773.680205166</v>
      </c>
    </row>
    <row r="86" spans="2:13" x14ac:dyDescent="0.25">
      <c r="B86" s="635">
        <v>2028</v>
      </c>
      <c r="C86" s="661">
        <f>'Análisis Econ ISCC Nuevo'!V15</f>
        <v>81420328.34183456</v>
      </c>
      <c r="D86" s="599"/>
      <c r="E86" s="667">
        <f t="shared" si="16"/>
        <v>569025812.17830825</v>
      </c>
      <c r="F86" s="662">
        <f t="shared" si="17"/>
        <v>81420328.34183456</v>
      </c>
      <c r="G86" s="663">
        <f>J85*$J$68</f>
        <v>1951294.4927709943</v>
      </c>
      <c r="H86" s="664">
        <f t="shared" si="21"/>
        <v>24888960.366976924</v>
      </c>
      <c r="I86" s="664">
        <f t="shared" si="22"/>
        <v>26840254.85974792</v>
      </c>
      <c r="J86" s="665">
        <f t="shared" si="19"/>
        <v>4.4703483581542969E-8</v>
      </c>
      <c r="K86" s="599"/>
      <c r="L86" s="666">
        <f t="shared" si="23"/>
        <v>475681312.93294626</v>
      </c>
      <c r="M86" s="667">
        <f t="shared" si="20"/>
        <v>54580073.482086644</v>
      </c>
    </row>
    <row r="87" spans="2:13" x14ac:dyDescent="0.25">
      <c r="B87" s="416">
        <v>2029</v>
      </c>
      <c r="C87" s="142">
        <f>'Análisis Econ ISCC Nuevo'!V16</f>
        <v>82454849.956753418</v>
      </c>
      <c r="D87" s="134"/>
      <c r="E87" s="181">
        <f t="shared" si="16"/>
        <v>651480662.13506162</v>
      </c>
      <c r="F87" s="199">
        <f t="shared" si="17"/>
        <v>82454849.956753418</v>
      </c>
      <c r="G87" s="143"/>
      <c r="H87" s="147">
        <f>SUM(H77:H86)</f>
        <v>181407305.02810061</v>
      </c>
      <c r="I87" s="144"/>
      <c r="J87" s="145"/>
      <c r="K87" s="134"/>
      <c r="L87" s="146">
        <f t="shared" si="23"/>
        <v>558136162.8896997</v>
      </c>
      <c r="M87" s="181">
        <f t="shared" si="20"/>
        <v>82454849.956753418</v>
      </c>
    </row>
    <row r="88" spans="2:13" x14ac:dyDescent="0.25">
      <c r="B88" s="635">
        <v>2030</v>
      </c>
      <c r="C88" s="661">
        <f>'Análisis Econ ISCC Nuevo'!V17</f>
        <v>83449484.053360552</v>
      </c>
      <c r="D88" s="599"/>
      <c r="E88" s="667">
        <f t="shared" si="16"/>
        <v>734930146.1884222</v>
      </c>
      <c r="F88" s="662">
        <f t="shared" si="17"/>
        <v>83449484.053360552</v>
      </c>
      <c r="G88" s="663"/>
      <c r="H88" s="664"/>
      <c r="I88" s="597"/>
      <c r="J88" s="665"/>
      <c r="K88" s="599"/>
      <c r="L88" s="666">
        <f t="shared" si="23"/>
        <v>641585646.94306028</v>
      </c>
      <c r="M88" s="667">
        <f t="shared" si="20"/>
        <v>83449484.053360552</v>
      </c>
    </row>
    <row r="89" spans="2:13" x14ac:dyDescent="0.25">
      <c r="B89" s="416">
        <v>2031</v>
      </c>
      <c r="C89" s="142">
        <f>'Análisis Econ ISCC Nuevo'!V18</f>
        <v>84467238.719364837</v>
      </c>
      <c r="D89" s="134"/>
      <c r="E89" s="181">
        <f t="shared" si="16"/>
        <v>819397384.90778708</v>
      </c>
      <c r="F89" s="199">
        <f t="shared" si="17"/>
        <v>84467238.719364837</v>
      </c>
      <c r="G89" s="143"/>
      <c r="H89" s="144"/>
      <c r="I89" s="122"/>
      <c r="J89" s="145"/>
      <c r="K89" s="134"/>
      <c r="L89" s="146">
        <f t="shared" si="23"/>
        <v>726052885.66242516</v>
      </c>
      <c r="M89" s="181">
        <f t="shared" si="20"/>
        <v>84467238.719364837</v>
      </c>
    </row>
    <row r="90" spans="2:13" x14ac:dyDescent="0.25">
      <c r="B90" s="635">
        <v>2032</v>
      </c>
      <c r="C90" s="661">
        <f>'Análisis Econ ISCC Nuevo'!V19</f>
        <v>85476988.915456966</v>
      </c>
      <c r="D90" s="599"/>
      <c r="E90" s="667">
        <f t="shared" si="16"/>
        <v>904874373.82324409</v>
      </c>
      <c r="F90" s="662">
        <f t="shared" si="17"/>
        <v>85476988.915456966</v>
      </c>
      <c r="G90" s="663"/>
      <c r="H90" s="664"/>
      <c r="I90" s="597"/>
      <c r="J90" s="665"/>
      <c r="K90" s="599"/>
      <c r="L90" s="666">
        <f t="shared" si="23"/>
        <v>811529874.57788217</v>
      </c>
      <c r="M90" s="667">
        <f t="shared" si="20"/>
        <v>85476988.915456966</v>
      </c>
    </row>
    <row r="91" spans="2:13" x14ac:dyDescent="0.25">
      <c r="B91" s="416">
        <v>2033</v>
      </c>
      <c r="C91" s="142">
        <f>'Análisis Econ ISCC Nuevo'!V20</f>
        <v>86626622.249713212</v>
      </c>
      <c r="D91" s="134"/>
      <c r="E91" s="181">
        <f t="shared" si="16"/>
        <v>991500996.07295728</v>
      </c>
      <c r="F91" s="199">
        <f t="shared" si="17"/>
        <v>86626622.249713212</v>
      </c>
      <c r="G91" s="143"/>
      <c r="H91" s="144"/>
      <c r="I91" s="122"/>
      <c r="J91" s="145"/>
      <c r="K91" s="134"/>
      <c r="L91" s="146">
        <f t="shared" si="23"/>
        <v>898156496.82759535</v>
      </c>
      <c r="M91" s="181">
        <f t="shared" si="20"/>
        <v>86626622.249713212</v>
      </c>
    </row>
    <row r="92" spans="2:13" x14ac:dyDescent="0.25">
      <c r="B92" s="635">
        <v>2034</v>
      </c>
      <c r="C92" s="661">
        <f>'Análisis Econ ISCC Nuevo'!V21</f>
        <v>87709394.980575576</v>
      </c>
      <c r="D92" s="599"/>
      <c r="E92" s="667">
        <f t="shared" si="16"/>
        <v>1079210391.0535328</v>
      </c>
      <c r="F92" s="662">
        <f t="shared" si="17"/>
        <v>87709394.980575576</v>
      </c>
      <c r="G92" s="597"/>
      <c r="H92" s="597"/>
      <c r="I92" s="597"/>
      <c r="J92" s="598"/>
      <c r="K92" s="599"/>
      <c r="L92" s="666">
        <f t="shared" si="23"/>
        <v>985865891.80817091</v>
      </c>
      <c r="M92" s="667">
        <f t="shared" si="20"/>
        <v>87709394.980575576</v>
      </c>
    </row>
    <row r="93" spans="2:13" x14ac:dyDescent="0.25">
      <c r="B93" s="182">
        <v>2035</v>
      </c>
      <c r="C93" s="148">
        <f>'Análisis Econ ISCC Nuevo'!V22</f>
        <v>88867150.804389328</v>
      </c>
      <c r="D93" s="130"/>
      <c r="E93" s="183">
        <f t="shared" si="16"/>
        <v>1168077541.8579221</v>
      </c>
      <c r="F93" s="200">
        <f t="shared" si="17"/>
        <v>88867150.804389328</v>
      </c>
      <c r="G93" s="138"/>
      <c r="H93" s="138"/>
      <c r="I93" s="138"/>
      <c r="J93" s="125"/>
      <c r="K93" s="130"/>
      <c r="L93" s="149">
        <f t="shared" si="23"/>
        <v>1074733042.6125603</v>
      </c>
      <c r="M93" s="183">
        <f t="shared" si="20"/>
        <v>88867150.804389328</v>
      </c>
    </row>
    <row r="94" spans="2:13" x14ac:dyDescent="0.25">
      <c r="B94" s="184" t="s">
        <v>96</v>
      </c>
      <c r="C94" s="207">
        <f>NPV(E67,C77:C93)</f>
        <v>555564598.14417124</v>
      </c>
      <c r="D94" s="122"/>
      <c r="E94" s="186"/>
      <c r="F94" s="201"/>
      <c r="G94" s="122"/>
      <c r="H94" s="122"/>
      <c r="I94" s="122"/>
      <c r="J94" s="202" t="s">
        <v>96</v>
      </c>
      <c r="K94" s="122"/>
      <c r="L94" s="122"/>
      <c r="M94" s="203">
        <f>NPV(E67,M77:M93)</f>
        <v>403911172.04720712</v>
      </c>
    </row>
    <row r="95" spans="2:13" ht="15.75" thickBot="1" x14ac:dyDescent="0.3">
      <c r="B95" s="187" t="s">
        <v>95</v>
      </c>
      <c r="C95" s="208">
        <f>C94+D76</f>
        <v>354000925.89072609</v>
      </c>
      <c r="D95" s="189"/>
      <c r="E95" s="190"/>
      <c r="F95" s="204"/>
      <c r="G95" s="189"/>
      <c r="H95" s="189"/>
      <c r="I95" s="189"/>
      <c r="J95" s="205" t="s">
        <v>95</v>
      </c>
      <c r="K95" s="205"/>
      <c r="L95" s="205"/>
      <c r="M95" s="209">
        <f>M94+K76</f>
        <v>377405549.14587909</v>
      </c>
    </row>
  </sheetData>
  <mergeCells count="26">
    <mergeCell ref="K67:K70"/>
    <mergeCell ref="E69:E70"/>
    <mergeCell ref="L69:L70"/>
    <mergeCell ref="M69:M70"/>
    <mergeCell ref="B66:M66"/>
    <mergeCell ref="B67:B69"/>
    <mergeCell ref="C67:C70"/>
    <mergeCell ref="D67:D68"/>
    <mergeCell ref="E67:E68"/>
    <mergeCell ref="F67:F68"/>
    <mergeCell ref="B34:E34"/>
    <mergeCell ref="F34:M34"/>
    <mergeCell ref="B35:B37"/>
    <mergeCell ref="C35:C38"/>
    <mergeCell ref="D35:D36"/>
    <mergeCell ref="E35:E36"/>
    <mergeCell ref="F35:F36"/>
    <mergeCell ref="K35:K38"/>
    <mergeCell ref="E37:E38"/>
    <mergeCell ref="L37:L38"/>
    <mergeCell ref="M37:M38"/>
    <mergeCell ref="L5:L6"/>
    <mergeCell ref="M5:M6"/>
    <mergeCell ref="F3:F4"/>
    <mergeCell ref="K3:K6"/>
    <mergeCell ref="B2:M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73"/>
  <sheetViews>
    <sheetView tabSelected="1" topLeftCell="M16" zoomScale="80" zoomScaleNormal="80" workbookViewId="0">
      <selection activeCell="R33" sqref="R33"/>
    </sheetView>
  </sheetViews>
  <sheetFormatPr baseColWidth="10" defaultRowHeight="15" x14ac:dyDescent="0.25"/>
  <cols>
    <col min="2" max="2" width="37.28515625" bestFit="1" customWidth="1"/>
    <col min="5" max="5" width="13.5703125" bestFit="1" customWidth="1"/>
    <col min="6" max="6" width="20.140625" bestFit="1" customWidth="1"/>
    <col min="7" max="7" width="15.28515625" bestFit="1" customWidth="1"/>
    <col min="8" max="8" width="15.42578125" customWidth="1"/>
    <col min="10" max="10" width="9.28515625" customWidth="1"/>
    <col min="11" max="11" width="9.42578125" customWidth="1"/>
    <col min="12" max="12" width="11.7109375" customWidth="1"/>
    <col min="13" max="13" width="12.28515625" customWidth="1"/>
    <col min="14" max="14" width="13.85546875" customWidth="1"/>
    <col min="15" max="15" width="15.7109375" customWidth="1"/>
    <col min="16" max="16" width="15" customWidth="1"/>
    <col min="17" max="17" width="14.140625" customWidth="1"/>
    <col min="18" max="18" width="14.42578125" customWidth="1"/>
    <col min="19" max="19" width="15.42578125" customWidth="1"/>
    <col min="20" max="20" width="27.42578125" customWidth="1"/>
    <col min="21" max="21" width="18.28515625" customWidth="1"/>
    <col min="22" max="22" width="18.85546875" customWidth="1"/>
    <col min="24" max="24" width="15.7109375" bestFit="1" customWidth="1"/>
    <col min="25" max="25" width="18.5703125" customWidth="1"/>
    <col min="26" max="26" width="18.28515625" customWidth="1"/>
    <col min="27" max="27" width="22" customWidth="1"/>
    <col min="28" max="28" width="16.28515625" customWidth="1"/>
    <col min="29" max="29" width="18.7109375" customWidth="1"/>
    <col min="30" max="30" width="21.28515625" customWidth="1"/>
    <col min="31" max="38" width="17.140625" bestFit="1" customWidth="1"/>
    <col min="39" max="39" width="21.140625" customWidth="1"/>
    <col min="40" max="41" width="17.140625" bestFit="1" customWidth="1"/>
    <col min="42" max="42" width="15.7109375" bestFit="1" customWidth="1"/>
    <col min="43" max="44" width="14.42578125" bestFit="1" customWidth="1"/>
  </cols>
  <sheetData>
    <row r="1" spans="1:4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44" ht="21" thickBot="1" x14ac:dyDescent="0.35">
      <c r="A2" s="1"/>
      <c r="B2" s="2"/>
      <c r="C2" s="743"/>
      <c r="D2" s="743"/>
      <c r="E2" s="3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>
        <f>-E4*C25*1000</f>
        <v>-189067254.20919198</v>
      </c>
      <c r="U2" s="1"/>
      <c r="X2" s="875" t="s">
        <v>7</v>
      </c>
      <c r="Y2" s="768" t="s">
        <v>133</v>
      </c>
      <c r="Z2" s="770" t="s">
        <v>134</v>
      </c>
      <c r="AA2" s="772" t="s">
        <v>135</v>
      </c>
      <c r="AB2" s="776" t="s">
        <v>136</v>
      </c>
      <c r="AC2" s="777"/>
      <c r="AD2" s="772" t="s">
        <v>139</v>
      </c>
      <c r="AE2" s="778" t="s">
        <v>147</v>
      </c>
      <c r="AF2" s="778" t="s">
        <v>152</v>
      </c>
      <c r="AG2" s="780" t="s">
        <v>153</v>
      </c>
      <c r="AH2" s="778" t="s">
        <v>139</v>
      </c>
      <c r="AI2" s="778" t="s">
        <v>154</v>
      </c>
      <c r="AJ2" s="778" t="s">
        <v>155</v>
      </c>
      <c r="AK2" s="778" t="s">
        <v>156</v>
      </c>
    </row>
    <row r="3" spans="1:44" ht="45.75" customHeight="1" thickBot="1" x14ac:dyDescent="0.3">
      <c r="A3" s="1"/>
      <c r="B3" s="52" t="s">
        <v>0</v>
      </c>
      <c r="C3" s="5"/>
      <c r="D3" s="6"/>
      <c r="E3" s="53" t="s">
        <v>3</v>
      </c>
      <c r="F3" s="46"/>
      <c r="G3" s="46"/>
      <c r="H3" s="1"/>
      <c r="I3" s="1"/>
      <c r="J3" s="845" t="s">
        <v>7</v>
      </c>
      <c r="K3" s="847" t="s">
        <v>8</v>
      </c>
      <c r="L3" s="849" t="s">
        <v>21</v>
      </c>
      <c r="M3" s="851" t="s">
        <v>19</v>
      </c>
      <c r="N3" s="853" t="s">
        <v>9</v>
      </c>
      <c r="O3" s="855" t="s">
        <v>274</v>
      </c>
      <c r="P3" s="856"/>
      <c r="Q3" s="856"/>
      <c r="R3" s="856"/>
      <c r="S3" s="856"/>
      <c r="T3" s="856"/>
      <c r="U3" s="856"/>
      <c r="V3" s="857"/>
      <c r="X3" s="876"/>
      <c r="Y3" s="769"/>
      <c r="Z3" s="771"/>
      <c r="AA3" s="773"/>
      <c r="AB3" s="240" t="s">
        <v>137</v>
      </c>
      <c r="AC3" s="241" t="s">
        <v>138</v>
      </c>
      <c r="AD3" s="773"/>
      <c r="AE3" s="779"/>
      <c r="AF3" s="779"/>
      <c r="AG3" s="781"/>
      <c r="AH3" s="779"/>
      <c r="AI3" s="779"/>
      <c r="AJ3" s="779"/>
      <c r="AK3" s="779"/>
      <c r="AL3" s="226"/>
      <c r="AN3" s="268" t="s">
        <v>22</v>
      </c>
      <c r="AO3" s="262" t="s">
        <v>148</v>
      </c>
      <c r="AP3" s="262" t="s">
        <v>149</v>
      </c>
      <c r="AQ3" s="265"/>
      <c r="AR3" s="263" t="s">
        <v>150</v>
      </c>
    </row>
    <row r="4" spans="1:44" ht="16.5" thickBot="1" x14ac:dyDescent="0.3">
      <c r="A4" s="1"/>
      <c r="B4" s="7" t="s">
        <v>1</v>
      </c>
      <c r="C4" s="8"/>
      <c r="D4" s="9"/>
      <c r="E4" s="13">
        <v>181.83799999999999</v>
      </c>
      <c r="F4" s="47"/>
      <c r="G4" s="47"/>
      <c r="H4" s="1"/>
      <c r="I4" s="1"/>
      <c r="J4" s="846"/>
      <c r="K4" s="848"/>
      <c r="L4" s="850"/>
      <c r="M4" s="852"/>
      <c r="N4" s="854"/>
      <c r="O4" s="559" t="s">
        <v>272</v>
      </c>
      <c r="P4" s="559" t="s">
        <v>273</v>
      </c>
      <c r="Q4" s="560"/>
      <c r="R4" s="561"/>
      <c r="S4" s="562"/>
      <c r="T4" s="559" t="s">
        <v>23</v>
      </c>
      <c r="U4" s="559" t="s">
        <v>271</v>
      </c>
      <c r="V4" s="563" t="s">
        <v>55</v>
      </c>
      <c r="X4" s="255">
        <v>0</v>
      </c>
      <c r="Y4" s="247"/>
      <c r="Z4" s="225"/>
      <c r="AA4" s="254">
        <f>Y4-Z4</f>
        <v>0</v>
      </c>
      <c r="AB4" s="242"/>
      <c r="AC4" s="243"/>
      <c r="AD4" s="244">
        <f>AB4+AC4</f>
        <v>0</v>
      </c>
      <c r="AE4" s="252"/>
      <c r="AF4" s="252">
        <f t="shared" ref="AF4:AF21" si="0">AR4</f>
        <v>0</v>
      </c>
      <c r="AG4" s="252">
        <f>AE4-AF4</f>
        <v>0</v>
      </c>
      <c r="AH4" s="252"/>
      <c r="AI4" s="252">
        <f>-$U$5/1000</f>
        <v>150792.95493835313</v>
      </c>
      <c r="AJ4" s="252">
        <f>AG4+AH4-AI4</f>
        <v>-150792.95493835313</v>
      </c>
      <c r="AK4" s="252">
        <f>AJ4</f>
        <v>-150792.95493835313</v>
      </c>
      <c r="AL4" s="212"/>
      <c r="AN4" s="255">
        <v>0</v>
      </c>
      <c r="AO4" s="161"/>
      <c r="AP4" s="161"/>
      <c r="AQ4" s="266">
        <f t="shared" ref="AQ4:AQ21" si="1">IF(AP4&gt;0,1,0)</f>
        <v>0</v>
      </c>
      <c r="AR4" s="254">
        <f t="shared" ref="AR4:AR21" si="2">MIN(AO4:AP4)*AQ4*$S$60</f>
        <v>0</v>
      </c>
    </row>
    <row r="5" spans="1:44" ht="16.5" thickBot="1" x14ac:dyDescent="0.3">
      <c r="A5" s="1"/>
      <c r="B5" s="7" t="s">
        <v>2</v>
      </c>
      <c r="C5" s="8"/>
      <c r="D5" s="9"/>
      <c r="E5" s="12">
        <v>175.31899999999999</v>
      </c>
      <c r="F5" s="47"/>
      <c r="G5" s="47"/>
      <c r="H5" s="1"/>
      <c r="I5" s="1"/>
      <c r="J5" s="564">
        <v>2018</v>
      </c>
      <c r="K5" s="565"/>
      <c r="L5" s="565"/>
      <c r="M5" s="566"/>
      <c r="N5" s="565"/>
      <c r="O5" s="564"/>
      <c r="P5" s="564"/>
      <c r="Q5" s="564"/>
      <c r="R5" s="564"/>
      <c r="S5" s="564"/>
      <c r="T5" s="591">
        <f>-E4*C25*1000</f>
        <v>-189067254.20919198</v>
      </c>
      <c r="U5" s="584">
        <f>-U31</f>
        <v>-150792954.93835312</v>
      </c>
      <c r="V5" s="585">
        <f>U5</f>
        <v>-150792954.93835312</v>
      </c>
      <c r="X5" s="255">
        <v>1</v>
      </c>
      <c r="Y5" s="248">
        <f>(O6+P6)/1000</f>
        <v>157742.2089389016</v>
      </c>
      <c r="Z5" s="169">
        <f>(Q6+R6+S6)/1000</f>
        <v>106037.43102244171</v>
      </c>
      <c r="AA5" s="244">
        <f>Y5-Z5</f>
        <v>51704.777916459891</v>
      </c>
      <c r="AB5" s="242">
        <f>U57</f>
        <v>23825286.880259797</v>
      </c>
      <c r="AC5" s="243">
        <f>U58</f>
        <v>1583326.0268527078</v>
      </c>
      <c r="AD5" s="244">
        <f>AB5+AC5</f>
        <v>25408612.907112505</v>
      </c>
      <c r="AE5" s="252">
        <f>AA5-AD5</f>
        <v>-25356908.129196044</v>
      </c>
      <c r="AF5" s="252">
        <f t="shared" si="0"/>
        <v>0</v>
      </c>
      <c r="AG5" s="252">
        <f>AE5-AF5</f>
        <v>-25356908.129196044</v>
      </c>
      <c r="AH5" s="252">
        <f>AD5</f>
        <v>25408612.907112505</v>
      </c>
      <c r="AI5" s="255"/>
      <c r="AJ5" s="252">
        <f t="shared" ref="AJ5:AJ21" si="3">AG5+AH5+AI5</f>
        <v>51704.777916461229</v>
      </c>
      <c r="AK5" s="252">
        <f>AK4+AJ5</f>
        <v>-99088.177021891897</v>
      </c>
      <c r="AN5" s="255">
        <v>1</v>
      </c>
      <c r="AO5" s="243">
        <f t="shared" ref="AO5:AO21" si="4">AE5</f>
        <v>-25356908.129196044</v>
      </c>
      <c r="AP5" s="243">
        <f t="shared" ref="AP5:AP21" si="5">AO5+AP4</f>
        <v>-25356908.129196044</v>
      </c>
      <c r="AQ5" s="266">
        <f t="shared" si="1"/>
        <v>0</v>
      </c>
      <c r="AR5" s="254">
        <f t="shared" si="2"/>
        <v>0</v>
      </c>
    </row>
    <row r="6" spans="1:44" ht="16.5" thickBot="1" x14ac:dyDescent="0.3">
      <c r="A6" s="1"/>
      <c r="B6" s="7" t="s">
        <v>4</v>
      </c>
      <c r="C6" s="8"/>
      <c r="D6" s="9"/>
      <c r="E6" s="106">
        <v>0.78600000000000003</v>
      </c>
      <c r="F6" s="47"/>
      <c r="G6" s="47"/>
      <c r="H6" s="1"/>
      <c r="I6" s="1"/>
      <c r="J6" s="568">
        <v>2019</v>
      </c>
      <c r="K6" s="569">
        <f>E6</f>
        <v>0.78600000000000003</v>
      </c>
      <c r="L6" s="570">
        <f t="shared" ref="L6:L22" si="6">$E$4*K6*$E$11</f>
        <v>1252020.0916800001</v>
      </c>
      <c r="M6" s="571">
        <f>$E$5*$E$11*K6</f>
        <v>1207134.4298400001</v>
      </c>
      <c r="N6" s="572">
        <f>E9</f>
        <v>8068</v>
      </c>
      <c r="O6" s="573">
        <f t="shared" ref="O6:O22" si="7">M6*B31</f>
        <v>144844060.2365016</v>
      </c>
      <c r="P6" s="573">
        <f>$E$5*K6*1000*$C$26*12</f>
        <v>12898148.702399999</v>
      </c>
      <c r="Q6" s="573">
        <f t="shared" ref="Q6:Q22" si="8">$E$4*$C$23+L6*$C$24</f>
        <v>10366812.503442004</v>
      </c>
      <c r="R6" s="573">
        <f t="shared" ref="R6:R22" si="9">($E$16*$E$15*K6*$E$11/1000)+($E$17*$E$18*K6*$E$11/1000)</f>
        <v>12758201.871268492</v>
      </c>
      <c r="S6" s="573">
        <f t="shared" ref="S6:S22" si="10">N6*L6*1000*G26</f>
        <v>82912416.647731215</v>
      </c>
      <c r="T6" s="592" t="s">
        <v>47</v>
      </c>
      <c r="U6" s="586">
        <f>O6+P6-Q6-R6-S6</f>
        <v>51704777.916459918</v>
      </c>
      <c r="V6" s="587">
        <f>V5+U6</f>
        <v>-99088177.021893203</v>
      </c>
      <c r="X6" s="255">
        <v>2</v>
      </c>
      <c r="Y6" s="248">
        <f t="shared" ref="Y6:Y21" si="11">(O7+P7)/1000</f>
        <v>165940.18537285289</v>
      </c>
      <c r="Z6" s="169">
        <f t="shared" ref="Z6:Z21" si="12">(Q7+R7+S7)/1000</f>
        <v>110806.46541736643</v>
      </c>
      <c r="AA6" s="244">
        <f t="shared" ref="AA6:AA21" si="13">Y6-Z6</f>
        <v>55133.719955486464</v>
      </c>
      <c r="AB6" s="242">
        <f>AB5</f>
        <v>23825286.880259797</v>
      </c>
      <c r="AC6" s="243">
        <f>AC5</f>
        <v>1583326.0268527078</v>
      </c>
      <c r="AD6" s="244">
        <f t="shared" ref="AD6:AD21" si="14">AB6+AC6</f>
        <v>25408612.907112505</v>
      </c>
      <c r="AE6" s="252">
        <f t="shared" ref="AE6:AE21" si="15">AA6-AD6</f>
        <v>-25353479.18715702</v>
      </c>
      <c r="AF6" s="252">
        <f t="shared" si="0"/>
        <v>0</v>
      </c>
      <c r="AG6" s="252">
        <f t="shared" ref="AG6:AG21" si="16">AE6-AF6</f>
        <v>-25353479.18715702</v>
      </c>
      <c r="AH6" s="252">
        <f t="shared" ref="AH6:AH21" si="17">AD6</f>
        <v>25408612.907112505</v>
      </c>
      <c r="AI6" s="255"/>
      <c r="AJ6" s="252">
        <f t="shared" si="3"/>
        <v>55133.719955485314</v>
      </c>
      <c r="AK6" s="252">
        <f t="shared" ref="AK6:AK21" si="18">AK5+AJ6</f>
        <v>-43954.457066406583</v>
      </c>
      <c r="AN6" s="255">
        <v>2</v>
      </c>
      <c r="AO6" s="243">
        <f t="shared" si="4"/>
        <v>-25353479.18715702</v>
      </c>
      <c r="AP6" s="243">
        <f t="shared" si="5"/>
        <v>-50710387.316353068</v>
      </c>
      <c r="AQ6" s="266">
        <f t="shared" si="1"/>
        <v>0</v>
      </c>
      <c r="AR6" s="254">
        <f t="shared" si="2"/>
        <v>0</v>
      </c>
    </row>
    <row r="7" spans="1:44" ht="16.5" thickBot="1" x14ac:dyDescent="0.3">
      <c r="A7" s="1"/>
      <c r="B7" s="7" t="s">
        <v>5</v>
      </c>
      <c r="C7" s="8"/>
      <c r="D7" s="9"/>
      <c r="E7" s="49">
        <v>0.46279999999999999</v>
      </c>
      <c r="F7" s="47"/>
      <c r="G7" s="47"/>
      <c r="H7" s="1"/>
      <c r="I7" s="1"/>
      <c r="J7" s="568">
        <v>2020</v>
      </c>
      <c r="K7" s="575">
        <f t="shared" ref="K7:K22" si="19">K6*(1-$E$13)</f>
        <v>0.78207000000000004</v>
      </c>
      <c r="L7" s="576">
        <f t="shared" si="6"/>
        <v>1245759.9912216</v>
      </c>
      <c r="M7" s="571">
        <f t="shared" ref="M7:M22" si="20">$E$5*$E$11*K7</f>
        <v>1201098.7576908001</v>
      </c>
      <c r="N7" s="572">
        <f t="shared" ref="N7:N22" si="21">N6*(1+$E$12)</f>
        <v>8080.1020000000008</v>
      </c>
      <c r="O7" s="573">
        <f t="shared" si="7"/>
        <v>153106527.4139649</v>
      </c>
      <c r="P7" s="573">
        <f t="shared" ref="P7:P22" si="22">$E$5*K7*1000*$C$26*12</f>
        <v>12833657.958888</v>
      </c>
      <c r="Q7" s="573">
        <f t="shared" si="8"/>
        <v>10338528.875740463</v>
      </c>
      <c r="R7" s="573">
        <f t="shared" si="9"/>
        <v>12694410.86191215</v>
      </c>
      <c r="S7" s="573">
        <f t="shared" si="10"/>
        <v>87773525.679713815</v>
      </c>
      <c r="T7" s="592" t="s">
        <v>47</v>
      </c>
      <c r="U7" s="586">
        <f t="shared" ref="U7:U22" si="23">O7+P7-Q7-R7-S7</f>
        <v>55133719.955486447</v>
      </c>
      <c r="V7" s="587">
        <f t="shared" ref="V7:V22" si="24">V6+U7</f>
        <v>-43954457.066406757</v>
      </c>
      <c r="X7" s="255">
        <v>3</v>
      </c>
      <c r="Y7" s="248">
        <f t="shared" si="11"/>
        <v>171899.5939958285</v>
      </c>
      <c r="Z7" s="169">
        <f t="shared" si="12"/>
        <v>114304.9116660571</v>
      </c>
      <c r="AA7" s="244">
        <f t="shared" si="13"/>
        <v>57594.6823297714</v>
      </c>
      <c r="AB7" s="242">
        <f t="shared" ref="AB7:AB14" si="25">AB6</f>
        <v>23825286.880259797</v>
      </c>
      <c r="AC7" s="243">
        <f t="shared" ref="AC7:AC21" si="26">AC6</f>
        <v>1583326.0268527078</v>
      </c>
      <c r="AD7" s="244">
        <f t="shared" si="14"/>
        <v>25408612.907112505</v>
      </c>
      <c r="AE7" s="252">
        <f t="shared" si="15"/>
        <v>-25351018.224782735</v>
      </c>
      <c r="AF7" s="252">
        <f t="shared" si="0"/>
        <v>0</v>
      </c>
      <c r="AG7" s="252">
        <f t="shared" si="16"/>
        <v>-25351018.224782735</v>
      </c>
      <c r="AH7" s="252">
        <f t="shared" si="17"/>
        <v>25408612.907112505</v>
      </c>
      <c r="AI7" s="255"/>
      <c r="AJ7" s="252">
        <f t="shared" si="3"/>
        <v>57594.682329770178</v>
      </c>
      <c r="AK7" s="252">
        <f t="shared" si="18"/>
        <v>13640.225263363594</v>
      </c>
      <c r="AN7" s="255">
        <v>3</v>
      </c>
      <c r="AO7" s="243">
        <f t="shared" si="4"/>
        <v>-25351018.224782735</v>
      </c>
      <c r="AP7" s="243">
        <f t="shared" si="5"/>
        <v>-76061405.541135803</v>
      </c>
      <c r="AQ7" s="266">
        <f t="shared" si="1"/>
        <v>0</v>
      </c>
      <c r="AR7" s="254">
        <f t="shared" si="2"/>
        <v>0</v>
      </c>
    </row>
    <row r="8" spans="1:44" ht="16.5" thickBot="1" x14ac:dyDescent="0.3">
      <c r="A8" s="1"/>
      <c r="B8" s="7" t="s">
        <v>6</v>
      </c>
      <c r="C8" s="8"/>
      <c r="D8" s="9"/>
      <c r="E8" s="50">
        <f>(E4-E5)/E4</f>
        <v>3.5850592285440921E-2</v>
      </c>
      <c r="F8" s="47"/>
      <c r="G8" s="47"/>
      <c r="H8" s="1"/>
      <c r="I8" s="1"/>
      <c r="J8" s="568">
        <v>2021</v>
      </c>
      <c r="K8" s="575">
        <f t="shared" si="19"/>
        <v>0.77815965000000009</v>
      </c>
      <c r="L8" s="576">
        <f t="shared" si="6"/>
        <v>1239531.191265492</v>
      </c>
      <c r="M8" s="571">
        <f t="shared" si="20"/>
        <v>1195093.2639023461</v>
      </c>
      <c r="N8" s="572">
        <f t="shared" si="21"/>
        <v>8092.2221530000015</v>
      </c>
      <c r="O8" s="573">
        <f t="shared" si="7"/>
        <v>159130104.32673496</v>
      </c>
      <c r="P8" s="573">
        <f t="shared" si="22"/>
        <v>12769489.66909356</v>
      </c>
      <c r="Q8" s="573">
        <f t="shared" si="8"/>
        <v>10310386.666177429</v>
      </c>
      <c r="R8" s="573">
        <f t="shared" si="9"/>
        <v>12630938.80760259</v>
      </c>
      <c r="S8" s="573">
        <f t="shared" si="10"/>
        <v>91363586.192277074</v>
      </c>
      <c r="T8" s="592" t="s">
        <v>47</v>
      </c>
      <c r="U8" s="586">
        <f t="shared" si="23"/>
        <v>57594682.329771429</v>
      </c>
      <c r="V8" s="586">
        <f t="shared" si="24"/>
        <v>13640225.263364673</v>
      </c>
      <c r="X8" s="281">
        <v>4</v>
      </c>
      <c r="Y8" s="248">
        <f t="shared" si="11"/>
        <v>176312.41914943236</v>
      </c>
      <c r="Z8" s="169">
        <f t="shared" si="12"/>
        <v>116924.91071183213</v>
      </c>
      <c r="AA8" s="244">
        <f t="shared" si="13"/>
        <v>59387.508437600234</v>
      </c>
      <c r="AB8" s="242">
        <f t="shared" si="25"/>
        <v>23825286.880259797</v>
      </c>
      <c r="AC8" s="243">
        <f t="shared" si="26"/>
        <v>1583326.0268527078</v>
      </c>
      <c r="AD8" s="244">
        <f t="shared" si="14"/>
        <v>25408612.907112505</v>
      </c>
      <c r="AE8" s="252">
        <f t="shared" si="15"/>
        <v>-25349225.398674905</v>
      </c>
      <c r="AF8" s="252">
        <f t="shared" si="0"/>
        <v>0</v>
      </c>
      <c r="AG8" s="252">
        <f t="shared" si="16"/>
        <v>-25349225.398674905</v>
      </c>
      <c r="AH8" s="252">
        <f t="shared" si="17"/>
        <v>25408612.907112505</v>
      </c>
      <c r="AI8" s="255"/>
      <c r="AJ8" s="252">
        <f t="shared" si="3"/>
        <v>59387.508437599987</v>
      </c>
      <c r="AK8" s="252">
        <f t="shared" si="18"/>
        <v>73027.733700963581</v>
      </c>
      <c r="AN8" s="255">
        <v>4</v>
      </c>
      <c r="AO8" s="243">
        <f t="shared" si="4"/>
        <v>-25349225.398674905</v>
      </c>
      <c r="AP8" s="243">
        <f t="shared" si="5"/>
        <v>-101410630.93981071</v>
      </c>
      <c r="AQ8" s="266">
        <f t="shared" si="1"/>
        <v>0</v>
      </c>
      <c r="AR8" s="254">
        <f t="shared" si="2"/>
        <v>0</v>
      </c>
    </row>
    <row r="9" spans="1:44" ht="16.5" thickBot="1" x14ac:dyDescent="0.3">
      <c r="A9" s="1"/>
      <c r="B9" s="7" t="s">
        <v>70</v>
      </c>
      <c r="C9" s="8"/>
      <c r="D9" s="9"/>
      <c r="E9" s="97">
        <v>8068</v>
      </c>
      <c r="F9" s="47"/>
      <c r="G9" s="47"/>
      <c r="H9" s="1"/>
      <c r="I9" s="1"/>
      <c r="J9" s="568">
        <v>2022</v>
      </c>
      <c r="K9" s="575">
        <f t="shared" si="19"/>
        <v>0.77426885175000004</v>
      </c>
      <c r="L9" s="576">
        <f t="shared" si="6"/>
        <v>1233333.5353091646</v>
      </c>
      <c r="M9" s="571">
        <f t="shared" si="20"/>
        <v>1189117.7975828343</v>
      </c>
      <c r="N9" s="572">
        <f t="shared" si="21"/>
        <v>8104.3604862295024</v>
      </c>
      <c r="O9" s="573">
        <f t="shared" si="7"/>
        <v>163606776.92868426</v>
      </c>
      <c r="P9" s="573">
        <f t="shared" si="22"/>
        <v>12705642.220748093</v>
      </c>
      <c r="Q9" s="573">
        <f t="shared" si="8"/>
        <v>10282385.167662211</v>
      </c>
      <c r="R9" s="573">
        <f t="shared" si="9"/>
        <v>12567784.113564577</v>
      </c>
      <c r="S9" s="573">
        <f t="shared" si="10"/>
        <v>94074741.430605337</v>
      </c>
      <c r="T9" s="592" t="s">
        <v>47</v>
      </c>
      <c r="U9" s="586">
        <f t="shared" si="23"/>
        <v>59387508.43760024</v>
      </c>
      <c r="V9" s="586">
        <f t="shared" si="24"/>
        <v>73027733.700964913</v>
      </c>
      <c r="X9" s="281">
        <v>5</v>
      </c>
      <c r="Y9" s="248">
        <f t="shared" si="11"/>
        <v>178545.6466990395</v>
      </c>
      <c r="Z9" s="169">
        <f t="shared" si="12"/>
        <v>118297.94980250433</v>
      </c>
      <c r="AA9" s="244">
        <f t="shared" si="13"/>
        <v>60247.69689653517</v>
      </c>
      <c r="AB9" s="242">
        <f t="shared" si="25"/>
        <v>23825286.880259797</v>
      </c>
      <c r="AC9" s="243">
        <f t="shared" si="26"/>
        <v>1583326.0268527078</v>
      </c>
      <c r="AD9" s="244">
        <f t="shared" si="14"/>
        <v>25408612.907112505</v>
      </c>
      <c r="AE9" s="252">
        <f t="shared" si="15"/>
        <v>-25348365.210215971</v>
      </c>
      <c r="AF9" s="252">
        <f t="shared" si="0"/>
        <v>0</v>
      </c>
      <c r="AG9" s="252">
        <f t="shared" si="16"/>
        <v>-25348365.210215971</v>
      </c>
      <c r="AH9" s="252">
        <f t="shared" si="17"/>
        <v>25408612.907112505</v>
      </c>
      <c r="AI9" s="255"/>
      <c r="AJ9" s="252">
        <f t="shared" si="3"/>
        <v>60247.696896534413</v>
      </c>
      <c r="AK9" s="252">
        <f t="shared" si="18"/>
        <v>133275.43059749799</v>
      </c>
      <c r="AN9" s="255">
        <v>5</v>
      </c>
      <c r="AO9" s="243">
        <f t="shared" si="4"/>
        <v>-25348365.210215971</v>
      </c>
      <c r="AP9" s="243">
        <f t="shared" si="5"/>
        <v>-126758996.15002668</v>
      </c>
      <c r="AQ9" s="266">
        <f t="shared" si="1"/>
        <v>0</v>
      </c>
      <c r="AR9" s="254">
        <f t="shared" si="2"/>
        <v>0</v>
      </c>
    </row>
    <row r="10" spans="1:44" ht="16.5" thickBot="1" x14ac:dyDescent="0.3">
      <c r="A10" s="1"/>
      <c r="B10" s="7" t="s">
        <v>27</v>
      </c>
      <c r="C10" s="20"/>
      <c r="D10" s="21"/>
      <c r="E10" s="96">
        <v>45678.7</v>
      </c>
      <c r="F10" s="47"/>
      <c r="G10" s="47"/>
      <c r="H10" s="1"/>
      <c r="I10" s="1"/>
      <c r="J10" s="568">
        <v>2023</v>
      </c>
      <c r="K10" s="575">
        <f t="shared" si="19"/>
        <v>0.77039750749125002</v>
      </c>
      <c r="L10" s="576">
        <f t="shared" si="6"/>
        <v>1227166.8676326186</v>
      </c>
      <c r="M10" s="571">
        <f t="shared" si="20"/>
        <v>1183172.2085949201</v>
      </c>
      <c r="N10" s="572">
        <f t="shared" si="21"/>
        <v>8116.5170269588471</v>
      </c>
      <c r="O10" s="573">
        <f t="shared" si="7"/>
        <v>165903532.68939513</v>
      </c>
      <c r="P10" s="573">
        <f t="shared" si="22"/>
        <v>12642114.009644352</v>
      </c>
      <c r="Q10" s="573">
        <f t="shared" si="8"/>
        <v>10254523.676639568</v>
      </c>
      <c r="R10" s="573">
        <f t="shared" si="9"/>
        <v>12504945.192996753</v>
      </c>
      <c r="S10" s="573">
        <f t="shared" si="10"/>
        <v>95538480.932868019</v>
      </c>
      <c r="T10" s="592" t="s">
        <v>47</v>
      </c>
      <c r="U10" s="586">
        <f t="shared" si="23"/>
        <v>60247696.896535173</v>
      </c>
      <c r="V10" s="586">
        <f t="shared" si="24"/>
        <v>133275430.59750009</v>
      </c>
      <c r="X10" s="255">
        <v>6</v>
      </c>
      <c r="Y10" s="248">
        <f t="shared" si="11"/>
        <v>180589.01754703349</v>
      </c>
      <c r="Z10" s="169">
        <f t="shared" si="12"/>
        <v>119565.94241694755</v>
      </c>
      <c r="AA10" s="244">
        <f t="shared" si="13"/>
        <v>61023.075130085941</v>
      </c>
      <c r="AB10" s="242">
        <f t="shared" si="25"/>
        <v>23825286.880259797</v>
      </c>
      <c r="AC10" s="243">
        <f t="shared" si="26"/>
        <v>1583326.0268527078</v>
      </c>
      <c r="AD10" s="244">
        <f t="shared" si="14"/>
        <v>25408612.907112505</v>
      </c>
      <c r="AE10" s="252">
        <f t="shared" si="15"/>
        <v>-25347589.831982419</v>
      </c>
      <c r="AF10" s="252">
        <f t="shared" si="0"/>
        <v>0</v>
      </c>
      <c r="AG10" s="252">
        <f t="shared" si="16"/>
        <v>-25347589.831982419</v>
      </c>
      <c r="AH10" s="252">
        <f t="shared" si="17"/>
        <v>25408612.907112505</v>
      </c>
      <c r="AI10" s="255"/>
      <c r="AJ10" s="252">
        <f t="shared" si="3"/>
        <v>61023.075130086392</v>
      </c>
      <c r="AK10" s="252">
        <f t="shared" si="18"/>
        <v>194298.50572758439</v>
      </c>
      <c r="AN10" s="255">
        <v>6</v>
      </c>
      <c r="AO10" s="243">
        <f t="shared" si="4"/>
        <v>-25347589.831982419</v>
      </c>
      <c r="AP10" s="243">
        <f t="shared" si="5"/>
        <v>-152106585.98200911</v>
      </c>
      <c r="AQ10" s="266">
        <f t="shared" si="1"/>
        <v>0</v>
      </c>
      <c r="AR10" s="254">
        <f t="shared" si="2"/>
        <v>0</v>
      </c>
    </row>
    <row r="11" spans="1:44" ht="16.5" thickBot="1" x14ac:dyDescent="0.3">
      <c r="A11" s="1"/>
      <c r="B11" s="22" t="s">
        <v>12</v>
      </c>
      <c r="C11" s="23"/>
      <c r="D11" s="24"/>
      <c r="E11" s="51">
        <v>8760</v>
      </c>
      <c r="F11" s="47"/>
      <c r="G11" s="47"/>
      <c r="H11" s="1"/>
      <c r="I11" s="1"/>
      <c r="J11" s="568">
        <v>2024</v>
      </c>
      <c r="K11" s="575">
        <f t="shared" si="19"/>
        <v>0.76654551995379372</v>
      </c>
      <c r="L11" s="576">
        <f t="shared" si="6"/>
        <v>1221031.0332944556</v>
      </c>
      <c r="M11" s="571">
        <f t="shared" si="20"/>
        <v>1177256.3475519454</v>
      </c>
      <c r="N11" s="572">
        <f t="shared" si="21"/>
        <v>8128.6918024992856</v>
      </c>
      <c r="O11" s="573">
        <f t="shared" si="7"/>
        <v>168010114.10743737</v>
      </c>
      <c r="P11" s="573">
        <f t="shared" si="22"/>
        <v>12578903.439596128</v>
      </c>
      <c r="Q11" s="573">
        <f t="shared" si="8"/>
        <v>10226801.49307204</v>
      </c>
      <c r="R11" s="573">
        <f t="shared" si="9"/>
        <v>12442420.467031769</v>
      </c>
      <c r="S11" s="573">
        <f t="shared" si="10"/>
        <v>96896720.456843749</v>
      </c>
      <c r="T11" s="592" t="s">
        <v>47</v>
      </c>
      <c r="U11" s="586">
        <f t="shared" si="23"/>
        <v>61023075.13008593</v>
      </c>
      <c r="V11" s="586">
        <f t="shared" si="24"/>
        <v>194298505.72758603</v>
      </c>
      <c r="X11" s="255">
        <v>7</v>
      </c>
      <c r="Y11" s="248">
        <f t="shared" si="11"/>
        <v>184717.40446866132</v>
      </c>
      <c r="Z11" s="169">
        <f t="shared" si="12"/>
        <v>122042.36160321769</v>
      </c>
      <c r="AA11" s="244">
        <f t="shared" si="13"/>
        <v>62675.042865443625</v>
      </c>
      <c r="AB11" s="242">
        <f t="shared" si="25"/>
        <v>23825286.880259797</v>
      </c>
      <c r="AC11" s="243">
        <f t="shared" si="26"/>
        <v>1583326.0268527078</v>
      </c>
      <c r="AD11" s="244">
        <f t="shared" si="14"/>
        <v>25408612.907112505</v>
      </c>
      <c r="AE11" s="252">
        <f t="shared" si="15"/>
        <v>-25345937.864247061</v>
      </c>
      <c r="AF11" s="252">
        <f t="shared" si="0"/>
        <v>0</v>
      </c>
      <c r="AG11" s="252">
        <f t="shared" si="16"/>
        <v>-25345937.864247061</v>
      </c>
      <c r="AH11" s="252">
        <f t="shared" si="17"/>
        <v>25408612.907112505</v>
      </c>
      <c r="AI11" s="255"/>
      <c r="AJ11" s="252">
        <f t="shared" si="3"/>
        <v>62675.042865443975</v>
      </c>
      <c r="AK11" s="252">
        <f t="shared" si="18"/>
        <v>256973.54859302836</v>
      </c>
      <c r="AN11" s="255">
        <v>7</v>
      </c>
      <c r="AO11" s="243">
        <f t="shared" si="4"/>
        <v>-25345937.864247061</v>
      </c>
      <c r="AP11" s="243">
        <f t="shared" si="5"/>
        <v>-177452523.84625617</v>
      </c>
      <c r="AQ11" s="266">
        <f t="shared" si="1"/>
        <v>0</v>
      </c>
      <c r="AR11" s="254">
        <f t="shared" si="2"/>
        <v>0</v>
      </c>
    </row>
    <row r="12" spans="1:44" ht="16.5" thickBot="1" x14ac:dyDescent="0.3">
      <c r="A12" s="1"/>
      <c r="B12" s="83" t="s">
        <v>13</v>
      </c>
      <c r="C12" s="84"/>
      <c r="D12" s="85"/>
      <c r="E12" s="159">
        <v>1.5E-3</v>
      </c>
      <c r="F12" s="47"/>
      <c r="G12" s="46"/>
      <c r="H12" s="1"/>
      <c r="I12" s="1"/>
      <c r="J12" s="568">
        <v>2025</v>
      </c>
      <c r="K12" s="575">
        <f t="shared" si="19"/>
        <v>0.76271279235402478</v>
      </c>
      <c r="L12" s="576">
        <f t="shared" si="6"/>
        <v>1214925.8781279833</v>
      </c>
      <c r="M12" s="571">
        <f t="shared" si="20"/>
        <v>1171370.0658141857</v>
      </c>
      <c r="N12" s="572">
        <f t="shared" si="21"/>
        <v>8140.8848402030353</v>
      </c>
      <c r="O12" s="573">
        <f t="shared" si="7"/>
        <v>172201395.54626316</v>
      </c>
      <c r="P12" s="573">
        <f t="shared" si="22"/>
        <v>12516008.922398146</v>
      </c>
      <c r="Q12" s="573">
        <f t="shared" si="8"/>
        <v>10199217.920422349</v>
      </c>
      <c r="R12" s="573">
        <f t="shared" si="9"/>
        <v>12380208.364696611</v>
      </c>
      <c r="S12" s="573">
        <f t="shared" si="10"/>
        <v>99462935.318098724</v>
      </c>
      <c r="T12" s="592" t="s">
        <v>47</v>
      </c>
      <c r="U12" s="586">
        <f t="shared" si="23"/>
        <v>62675042.865443617</v>
      </c>
      <c r="V12" s="586">
        <f t="shared" si="24"/>
        <v>256973548.59302965</v>
      </c>
      <c r="X12" s="255">
        <v>8</v>
      </c>
      <c r="Y12" s="248">
        <f t="shared" si="11"/>
        <v>188315.52421344232</v>
      </c>
      <c r="Z12" s="169">
        <f t="shared" si="12"/>
        <v>124219.78856110129</v>
      </c>
      <c r="AA12" s="244">
        <f t="shared" si="13"/>
        <v>64095.735652341027</v>
      </c>
      <c r="AB12" s="242">
        <f t="shared" si="25"/>
        <v>23825286.880259797</v>
      </c>
      <c r="AC12" s="243">
        <f t="shared" si="26"/>
        <v>1583326.0268527078</v>
      </c>
      <c r="AD12" s="244">
        <f t="shared" si="14"/>
        <v>25408612.907112505</v>
      </c>
      <c r="AE12" s="252">
        <f t="shared" si="15"/>
        <v>-25344517.171460163</v>
      </c>
      <c r="AF12" s="252">
        <f t="shared" si="0"/>
        <v>0</v>
      </c>
      <c r="AG12" s="252">
        <f t="shared" si="16"/>
        <v>-25344517.171460163</v>
      </c>
      <c r="AH12" s="252">
        <f t="shared" si="17"/>
        <v>25408612.907112505</v>
      </c>
      <c r="AI12" s="255"/>
      <c r="AJ12" s="252">
        <f t="shared" si="3"/>
        <v>64095.735652342439</v>
      </c>
      <c r="AK12" s="252">
        <f t="shared" si="18"/>
        <v>321069.28424537077</v>
      </c>
      <c r="AN12" s="255">
        <v>8</v>
      </c>
      <c r="AO12" s="243">
        <f t="shared" si="4"/>
        <v>-25344517.171460163</v>
      </c>
      <c r="AP12" s="243">
        <f t="shared" si="5"/>
        <v>-202797041.01771632</v>
      </c>
      <c r="AQ12" s="266">
        <f t="shared" si="1"/>
        <v>0</v>
      </c>
      <c r="AR12" s="254">
        <f t="shared" si="2"/>
        <v>0</v>
      </c>
    </row>
    <row r="13" spans="1:44" ht="16.5" thickBot="1" x14ac:dyDescent="0.3">
      <c r="A13" s="1"/>
      <c r="B13" s="83" t="s">
        <v>14</v>
      </c>
      <c r="C13" s="84"/>
      <c r="D13" s="85"/>
      <c r="E13" s="159">
        <v>5.0000000000000001E-3</v>
      </c>
      <c r="F13" s="48"/>
      <c r="G13" s="48"/>
      <c r="H13" s="1"/>
      <c r="I13" s="1"/>
      <c r="J13" s="568">
        <v>2026</v>
      </c>
      <c r="K13" s="575">
        <f t="shared" si="19"/>
        <v>0.75889922839225465</v>
      </c>
      <c r="L13" s="576">
        <f t="shared" si="6"/>
        <v>1208851.2487373434</v>
      </c>
      <c r="M13" s="571">
        <f t="shared" si="20"/>
        <v>1165513.2154851148</v>
      </c>
      <c r="N13" s="572">
        <f t="shared" si="21"/>
        <v>8153.09616746334</v>
      </c>
      <c r="O13" s="573">
        <f t="shared" si="7"/>
        <v>175862095.33565617</v>
      </c>
      <c r="P13" s="573">
        <f t="shared" si="22"/>
        <v>12453428.877786156</v>
      </c>
      <c r="Q13" s="573">
        <f t="shared" si="8"/>
        <v>10171772.265635904</v>
      </c>
      <c r="R13" s="573">
        <f t="shared" si="9"/>
        <v>12318307.322873129</v>
      </c>
      <c r="S13" s="573">
        <f t="shared" si="10"/>
        <v>101729708.97259225</v>
      </c>
      <c r="T13" s="592" t="s">
        <v>47</v>
      </c>
      <c r="U13" s="586">
        <f t="shared" si="23"/>
        <v>64095735.652341053</v>
      </c>
      <c r="V13" s="586">
        <f t="shared" si="24"/>
        <v>321069284.24537069</v>
      </c>
      <c r="X13" s="255">
        <v>9</v>
      </c>
      <c r="Y13" s="248">
        <f t="shared" si="11"/>
        <v>190266.22402806074</v>
      </c>
      <c r="Z13" s="169">
        <f t="shared" si="12"/>
        <v>125449.65663579224</v>
      </c>
      <c r="AA13" s="244">
        <f t="shared" si="13"/>
        <v>64816.567392268495</v>
      </c>
      <c r="AB13" s="242">
        <f t="shared" si="25"/>
        <v>23825286.880259797</v>
      </c>
      <c r="AC13" s="243">
        <f t="shared" si="26"/>
        <v>1583326.0268527078</v>
      </c>
      <c r="AD13" s="244">
        <f t="shared" si="14"/>
        <v>25408612.907112505</v>
      </c>
      <c r="AE13" s="252">
        <f t="shared" si="15"/>
        <v>-25343796.339720238</v>
      </c>
      <c r="AF13" s="252">
        <f t="shared" si="0"/>
        <v>0</v>
      </c>
      <c r="AG13" s="252">
        <f t="shared" si="16"/>
        <v>-25343796.339720238</v>
      </c>
      <c r="AH13" s="252">
        <f t="shared" si="17"/>
        <v>25408612.907112505</v>
      </c>
      <c r="AI13" s="255"/>
      <c r="AJ13" s="252">
        <f t="shared" si="3"/>
        <v>64816.567392267287</v>
      </c>
      <c r="AK13" s="252">
        <f t="shared" si="18"/>
        <v>385885.85163763806</v>
      </c>
      <c r="AN13" s="255">
        <v>9</v>
      </c>
      <c r="AO13" s="243">
        <f t="shared" si="4"/>
        <v>-25343796.339720238</v>
      </c>
      <c r="AP13" s="243">
        <f t="shared" si="5"/>
        <v>-228140837.35743657</v>
      </c>
      <c r="AQ13" s="266">
        <f t="shared" si="1"/>
        <v>0</v>
      </c>
      <c r="AR13" s="254">
        <f t="shared" si="2"/>
        <v>0</v>
      </c>
    </row>
    <row r="14" spans="1:44" ht="16.5" thickBot="1" x14ac:dyDescent="0.3">
      <c r="A14" s="1"/>
      <c r="B14" s="740" t="s">
        <v>25</v>
      </c>
      <c r="C14" s="741"/>
      <c r="D14" s="742"/>
      <c r="E14" s="26">
        <v>9.47817E-7</v>
      </c>
      <c r="F14" s="48"/>
      <c r="G14" s="48"/>
      <c r="H14" s="1"/>
      <c r="I14" s="1"/>
      <c r="J14" s="568">
        <v>2027</v>
      </c>
      <c r="K14" s="575">
        <f t="shared" si="19"/>
        <v>0.7551047322502934</v>
      </c>
      <c r="L14" s="576">
        <f t="shared" si="6"/>
        <v>1202806.9924936567</v>
      </c>
      <c r="M14" s="571">
        <f t="shared" si="20"/>
        <v>1159685.6494076892</v>
      </c>
      <c r="N14" s="572">
        <f t="shared" si="21"/>
        <v>8165.3258117145351</v>
      </c>
      <c r="O14" s="573">
        <f t="shared" si="7"/>
        <v>177875062.29466352</v>
      </c>
      <c r="P14" s="573">
        <f t="shared" si="22"/>
        <v>12391161.733397231</v>
      </c>
      <c r="Q14" s="573">
        <f t="shared" si="8"/>
        <v>10144463.839123394</v>
      </c>
      <c r="R14" s="573">
        <f t="shared" si="9"/>
        <v>12256715.786258763</v>
      </c>
      <c r="S14" s="573">
        <f t="shared" si="10"/>
        <v>103048477.01041009</v>
      </c>
      <c r="T14" s="592" t="s">
        <v>47</v>
      </c>
      <c r="U14" s="586">
        <f t="shared" si="23"/>
        <v>64816567.392268494</v>
      </c>
      <c r="V14" s="586">
        <f t="shared" si="24"/>
        <v>385885851.63763916</v>
      </c>
      <c r="X14" s="255">
        <v>10</v>
      </c>
      <c r="Y14" s="248">
        <f t="shared" si="11"/>
        <v>190593.92226281247</v>
      </c>
      <c r="Z14" s="169">
        <f t="shared" si="12"/>
        <v>125741.85102944683</v>
      </c>
      <c r="AA14" s="244">
        <f t="shared" si="13"/>
        <v>64852.071233365641</v>
      </c>
      <c r="AB14" s="242">
        <f t="shared" si="25"/>
        <v>23825286.880259797</v>
      </c>
      <c r="AC14" s="243">
        <f t="shared" si="26"/>
        <v>1583326.0268527078</v>
      </c>
      <c r="AD14" s="244">
        <f t="shared" si="14"/>
        <v>25408612.907112505</v>
      </c>
      <c r="AE14" s="252">
        <f t="shared" si="15"/>
        <v>-25343760.83587914</v>
      </c>
      <c r="AF14" s="252">
        <f t="shared" si="0"/>
        <v>0</v>
      </c>
      <c r="AG14" s="252">
        <f t="shared" si="16"/>
        <v>-25343760.83587914</v>
      </c>
      <c r="AH14" s="252">
        <f t="shared" si="17"/>
        <v>25408612.907112505</v>
      </c>
      <c r="AI14" s="255"/>
      <c r="AJ14" s="252">
        <f t="shared" si="3"/>
        <v>64852.071233365685</v>
      </c>
      <c r="AK14" s="252">
        <f t="shared" si="18"/>
        <v>450737.92287100374</v>
      </c>
      <c r="AN14" s="255">
        <v>10</v>
      </c>
      <c r="AO14" s="243">
        <f t="shared" si="4"/>
        <v>-25343760.83587914</v>
      </c>
      <c r="AP14" s="243">
        <f t="shared" si="5"/>
        <v>-253484598.19331571</v>
      </c>
      <c r="AQ14" s="266">
        <f t="shared" si="1"/>
        <v>0</v>
      </c>
      <c r="AR14" s="254">
        <f t="shared" si="2"/>
        <v>0</v>
      </c>
    </row>
    <row r="15" spans="1:44" ht="16.5" thickBot="1" x14ac:dyDescent="0.3">
      <c r="A15" s="1"/>
      <c r="B15" s="740" t="s">
        <v>75</v>
      </c>
      <c r="C15" s="741"/>
      <c r="D15" s="742"/>
      <c r="E15" s="88">
        <v>400599.36</v>
      </c>
      <c r="F15" s="48"/>
      <c r="G15" s="48"/>
      <c r="H15" s="1"/>
      <c r="I15" s="1"/>
      <c r="J15" s="568">
        <v>2028</v>
      </c>
      <c r="K15" s="575">
        <f t="shared" si="19"/>
        <v>0.75132920858904195</v>
      </c>
      <c r="L15" s="576">
        <f t="shared" si="6"/>
        <v>1196792.9575311884</v>
      </c>
      <c r="M15" s="571">
        <f t="shared" si="20"/>
        <v>1153887.2211606507</v>
      </c>
      <c r="N15" s="572">
        <f t="shared" si="21"/>
        <v>8177.5738004321074</v>
      </c>
      <c r="O15" s="573">
        <f t="shared" si="7"/>
        <v>178264716.33808222</v>
      </c>
      <c r="P15" s="573">
        <f t="shared" si="22"/>
        <v>12329205.924730241</v>
      </c>
      <c r="Q15" s="573">
        <f t="shared" si="8"/>
        <v>10117291.954743445</v>
      </c>
      <c r="R15" s="573">
        <f t="shared" si="9"/>
        <v>12195432.207327468</v>
      </c>
      <c r="S15" s="573">
        <f t="shared" si="10"/>
        <v>103429126.86737591</v>
      </c>
      <c r="T15" s="592" t="s">
        <v>47</v>
      </c>
      <c r="U15" s="586">
        <f t="shared" si="23"/>
        <v>64852071.233365655</v>
      </c>
      <c r="V15" s="586">
        <f t="shared" si="24"/>
        <v>450737922.87100482</v>
      </c>
      <c r="X15" s="255">
        <v>11</v>
      </c>
      <c r="Y15" s="248">
        <f t="shared" si="11"/>
        <v>192345.30034374833</v>
      </c>
      <c r="Z15" s="169">
        <f t="shared" si="12"/>
        <v>126862.47537063577</v>
      </c>
      <c r="AA15" s="244">
        <f t="shared" si="13"/>
        <v>65482.824973112554</v>
      </c>
      <c r="AB15" s="242">
        <v>0</v>
      </c>
      <c r="AC15" s="243">
        <f t="shared" si="26"/>
        <v>1583326.0268527078</v>
      </c>
      <c r="AD15" s="244">
        <f t="shared" si="14"/>
        <v>1583326.0268527078</v>
      </c>
      <c r="AE15" s="252">
        <f t="shared" si="15"/>
        <v>-1517843.2018795954</v>
      </c>
      <c r="AF15" s="252">
        <f t="shared" si="0"/>
        <v>0</v>
      </c>
      <c r="AG15" s="252">
        <f t="shared" si="16"/>
        <v>-1517843.2018795954</v>
      </c>
      <c r="AH15" s="252">
        <f t="shared" si="17"/>
        <v>1583326.0268527078</v>
      </c>
      <c r="AI15" s="255"/>
      <c r="AJ15" s="252">
        <f t="shared" si="3"/>
        <v>65482.824973112438</v>
      </c>
      <c r="AK15" s="252">
        <f t="shared" si="18"/>
        <v>516220.74784411618</v>
      </c>
      <c r="AN15" s="255">
        <v>11</v>
      </c>
      <c r="AO15" s="243">
        <f t="shared" si="4"/>
        <v>-1517843.2018795954</v>
      </c>
      <c r="AP15" s="243">
        <f t="shared" si="5"/>
        <v>-255002441.39519531</v>
      </c>
      <c r="AQ15" s="266">
        <f t="shared" si="1"/>
        <v>0</v>
      </c>
      <c r="AR15" s="254">
        <f t="shared" si="2"/>
        <v>0</v>
      </c>
    </row>
    <row r="16" spans="1:44" ht="16.5" thickBot="1" x14ac:dyDescent="0.3">
      <c r="A16" s="1"/>
      <c r="B16" s="740" t="s">
        <v>69</v>
      </c>
      <c r="C16" s="741"/>
      <c r="D16" s="742"/>
      <c r="E16" s="99">
        <v>4.5780000000000003</v>
      </c>
      <c r="F16" s="1"/>
      <c r="G16" s="1"/>
      <c r="H16" s="1"/>
      <c r="I16" s="1"/>
      <c r="J16" s="568">
        <v>2029</v>
      </c>
      <c r="K16" s="575">
        <f t="shared" si="19"/>
        <v>0.74757256254609672</v>
      </c>
      <c r="L16" s="576">
        <f t="shared" si="6"/>
        <v>1190808.9927435324</v>
      </c>
      <c r="M16" s="571">
        <f t="shared" si="20"/>
        <v>1148117.7850548476</v>
      </c>
      <c r="N16" s="572">
        <f t="shared" si="21"/>
        <v>8189.8401611327563</v>
      </c>
      <c r="O16" s="573">
        <f t="shared" si="7"/>
        <v>180077740.44864175</v>
      </c>
      <c r="P16" s="573">
        <f t="shared" si="22"/>
        <v>12267559.895106591</v>
      </c>
      <c r="Q16" s="573">
        <f t="shared" si="8"/>
        <v>10090255.929785397</v>
      </c>
      <c r="R16" s="573">
        <f t="shared" si="9"/>
        <v>12134455.04629083</v>
      </c>
      <c r="S16" s="573">
        <f t="shared" si="10"/>
        <v>104637764.39455955</v>
      </c>
      <c r="T16" s="592" t="s">
        <v>47</v>
      </c>
      <c r="U16" s="586">
        <f t="shared" si="23"/>
        <v>65482824.973112538</v>
      </c>
      <c r="V16" s="586">
        <f t="shared" si="24"/>
        <v>516220747.84411734</v>
      </c>
      <c r="X16" s="255">
        <v>12</v>
      </c>
      <c r="Y16" s="248">
        <f t="shared" si="11"/>
        <v>196290.37411070307</v>
      </c>
      <c r="Z16" s="169">
        <f t="shared" si="12"/>
        <v>129263.35629064468</v>
      </c>
      <c r="AA16" s="244">
        <f t="shared" si="13"/>
        <v>67027.01782005839</v>
      </c>
      <c r="AB16" s="242">
        <v>0</v>
      </c>
      <c r="AC16" s="243">
        <f t="shared" si="26"/>
        <v>1583326.0268527078</v>
      </c>
      <c r="AD16" s="244">
        <f t="shared" si="14"/>
        <v>1583326.0268527078</v>
      </c>
      <c r="AE16" s="252">
        <f t="shared" si="15"/>
        <v>-1516299.0090326495</v>
      </c>
      <c r="AF16" s="252">
        <f t="shared" si="0"/>
        <v>0</v>
      </c>
      <c r="AG16" s="252">
        <f t="shared" si="16"/>
        <v>-1516299.0090326495</v>
      </c>
      <c r="AH16" s="252">
        <f t="shared" si="17"/>
        <v>1583326.0268527078</v>
      </c>
      <c r="AI16" s="255"/>
      <c r="AJ16" s="252">
        <f t="shared" si="3"/>
        <v>67027.01782005839</v>
      </c>
      <c r="AK16" s="252">
        <f t="shared" si="18"/>
        <v>583247.76566417457</v>
      </c>
      <c r="AN16" s="255">
        <v>12</v>
      </c>
      <c r="AO16" s="243">
        <f t="shared" si="4"/>
        <v>-1516299.0090326495</v>
      </c>
      <c r="AP16" s="243">
        <f t="shared" si="5"/>
        <v>-256518740.40422794</v>
      </c>
      <c r="AQ16" s="266">
        <f t="shared" si="1"/>
        <v>0</v>
      </c>
      <c r="AR16" s="254">
        <f t="shared" si="2"/>
        <v>0</v>
      </c>
    </row>
    <row r="17" spans="1:45" ht="16.5" thickBot="1" x14ac:dyDescent="0.3">
      <c r="A17" s="1"/>
      <c r="B17" s="740" t="s">
        <v>72</v>
      </c>
      <c r="C17" s="741"/>
      <c r="D17" s="742"/>
      <c r="E17" s="88">
        <f>0.4612*3600</f>
        <v>1660.32</v>
      </c>
      <c r="F17" s="1"/>
      <c r="G17" s="1"/>
      <c r="H17" s="1"/>
      <c r="I17" s="1"/>
      <c r="J17" s="568">
        <v>2030</v>
      </c>
      <c r="K17" s="575">
        <f t="shared" si="19"/>
        <v>0.74383469973336624</v>
      </c>
      <c r="L17" s="576">
        <f t="shared" si="6"/>
        <v>1184854.9477798147</v>
      </c>
      <c r="M17" s="571">
        <f t="shared" si="20"/>
        <v>1142377.1961295733</v>
      </c>
      <c r="N17" s="572">
        <f t="shared" si="21"/>
        <v>8202.1249213744559</v>
      </c>
      <c r="O17" s="573">
        <f t="shared" si="7"/>
        <v>184084152.01507199</v>
      </c>
      <c r="P17" s="573">
        <f t="shared" si="22"/>
        <v>12206222.095631056</v>
      </c>
      <c r="Q17" s="573">
        <f t="shared" si="8"/>
        <v>10063355.084952138</v>
      </c>
      <c r="R17" s="573">
        <f t="shared" si="9"/>
        <v>12073782.771059377</v>
      </c>
      <c r="S17" s="573">
        <f t="shared" si="10"/>
        <v>107126218.43463317</v>
      </c>
      <c r="T17" s="592" t="s">
        <v>47</v>
      </c>
      <c r="U17" s="586">
        <f t="shared" si="23"/>
        <v>67027017.820058376</v>
      </c>
      <c r="V17" s="586">
        <f t="shared" si="24"/>
        <v>583247765.66417575</v>
      </c>
      <c r="X17" s="255">
        <v>13</v>
      </c>
      <c r="Y17" s="248">
        <f t="shared" si="11"/>
        <v>199718.71112677033</v>
      </c>
      <c r="Z17" s="169">
        <f t="shared" si="12"/>
        <v>131370.56460426183</v>
      </c>
      <c r="AA17" s="244">
        <f t="shared" si="13"/>
        <v>68348.146522508498</v>
      </c>
      <c r="AB17" s="242">
        <v>0</v>
      </c>
      <c r="AC17" s="243">
        <f t="shared" si="26"/>
        <v>1583326.0268527078</v>
      </c>
      <c r="AD17" s="244">
        <f t="shared" si="14"/>
        <v>1583326.0268527078</v>
      </c>
      <c r="AE17" s="252">
        <f t="shared" si="15"/>
        <v>-1514977.8803301994</v>
      </c>
      <c r="AF17" s="252">
        <f t="shared" si="0"/>
        <v>0</v>
      </c>
      <c r="AG17" s="252">
        <f t="shared" si="16"/>
        <v>-1514977.8803301994</v>
      </c>
      <c r="AH17" s="252">
        <f t="shared" si="17"/>
        <v>1583326.0268527078</v>
      </c>
      <c r="AI17" s="255"/>
      <c r="AJ17" s="252">
        <f t="shared" si="3"/>
        <v>68348.146522508468</v>
      </c>
      <c r="AK17" s="252">
        <f t="shared" si="18"/>
        <v>651595.91218668304</v>
      </c>
      <c r="AN17" s="255">
        <v>13</v>
      </c>
      <c r="AO17" s="243">
        <f t="shared" si="4"/>
        <v>-1514977.8803301994</v>
      </c>
      <c r="AP17" s="243">
        <f t="shared" si="5"/>
        <v>-258033718.28455815</v>
      </c>
      <c r="AQ17" s="266">
        <f t="shared" si="1"/>
        <v>0</v>
      </c>
      <c r="AR17" s="254">
        <f t="shared" si="2"/>
        <v>0</v>
      </c>
    </row>
    <row r="18" spans="1:45" ht="16.5" thickBot="1" x14ac:dyDescent="0.3">
      <c r="A18" s="1"/>
      <c r="B18" s="740" t="s">
        <v>74</v>
      </c>
      <c r="C18" s="741"/>
      <c r="D18" s="742"/>
      <c r="E18" s="99">
        <f>2.5*E16</f>
        <v>11.445</v>
      </c>
      <c r="F18" s="1"/>
      <c r="G18" s="1"/>
      <c r="H18" s="1"/>
      <c r="I18" s="1"/>
      <c r="J18" s="568">
        <v>2031</v>
      </c>
      <c r="K18" s="575">
        <f t="shared" si="19"/>
        <v>0.74011552623469945</v>
      </c>
      <c r="L18" s="576">
        <f t="shared" si="6"/>
        <v>1178930.6730409157</v>
      </c>
      <c r="M18" s="571">
        <f t="shared" si="20"/>
        <v>1136665.3101489255</v>
      </c>
      <c r="N18" s="572">
        <f t="shared" si="21"/>
        <v>8214.4281087565178</v>
      </c>
      <c r="O18" s="573">
        <f t="shared" si="7"/>
        <v>187573520.14161742</v>
      </c>
      <c r="P18" s="573">
        <f t="shared" si="22"/>
        <v>12145190.9851529</v>
      </c>
      <c r="Q18" s="573">
        <f t="shared" si="8"/>
        <v>10036588.744343046</v>
      </c>
      <c r="R18" s="573">
        <f t="shared" si="9"/>
        <v>12013413.857204083</v>
      </c>
      <c r="S18" s="573">
        <f t="shared" si="10"/>
        <v>109320562.00271471</v>
      </c>
      <c r="T18" s="592" t="s">
        <v>47</v>
      </c>
      <c r="U18" s="586">
        <f t="shared" si="23"/>
        <v>68348146.522508487</v>
      </c>
      <c r="V18" s="586">
        <f t="shared" si="24"/>
        <v>651595912.18668425</v>
      </c>
      <c r="X18" s="255">
        <v>14</v>
      </c>
      <c r="Y18" s="248">
        <f t="shared" si="11"/>
        <v>203891.38250300044</v>
      </c>
      <c r="Z18" s="169">
        <f t="shared" si="12"/>
        <v>133918.83202498729</v>
      </c>
      <c r="AA18" s="244">
        <f t="shared" si="13"/>
        <v>69972.550478013145</v>
      </c>
      <c r="AB18" s="242">
        <v>0</v>
      </c>
      <c r="AC18" s="243">
        <f t="shared" si="26"/>
        <v>1583326.0268527078</v>
      </c>
      <c r="AD18" s="244">
        <f t="shared" si="14"/>
        <v>1583326.0268527078</v>
      </c>
      <c r="AE18" s="252">
        <f t="shared" si="15"/>
        <v>-1513353.4763746946</v>
      </c>
      <c r="AF18" s="252">
        <f t="shared" si="0"/>
        <v>0</v>
      </c>
      <c r="AG18" s="252">
        <f t="shared" si="16"/>
        <v>-1513353.4763746946</v>
      </c>
      <c r="AH18" s="252">
        <f t="shared" si="17"/>
        <v>1583326.0268527078</v>
      </c>
      <c r="AI18" s="255"/>
      <c r="AJ18" s="252">
        <f t="shared" si="3"/>
        <v>69972.550478013232</v>
      </c>
      <c r="AK18" s="252">
        <f t="shared" si="18"/>
        <v>721568.46266469627</v>
      </c>
      <c r="AN18" s="255">
        <v>14</v>
      </c>
      <c r="AO18" s="243">
        <f t="shared" si="4"/>
        <v>-1513353.4763746946</v>
      </c>
      <c r="AP18" s="243">
        <f t="shared" si="5"/>
        <v>-259547071.76093283</v>
      </c>
      <c r="AQ18" s="266">
        <f t="shared" si="1"/>
        <v>0</v>
      </c>
      <c r="AR18" s="254">
        <f t="shared" si="2"/>
        <v>0</v>
      </c>
    </row>
    <row r="19" spans="1:45" x14ac:dyDescent="0.25">
      <c r="A19" s="1"/>
      <c r="B19" s="1"/>
      <c r="C19" s="1"/>
      <c r="D19" s="1"/>
      <c r="E19" s="1"/>
      <c r="F19" s="1"/>
      <c r="G19" s="1"/>
      <c r="H19" s="1"/>
      <c r="I19" s="1"/>
      <c r="J19" s="568">
        <v>2032</v>
      </c>
      <c r="K19" s="575">
        <f t="shared" si="19"/>
        <v>0.73641494860352597</v>
      </c>
      <c r="L19" s="576">
        <f t="shared" si="6"/>
        <v>1173036.0196757112</v>
      </c>
      <c r="M19" s="571">
        <f t="shared" si="20"/>
        <v>1130981.9835981808</v>
      </c>
      <c r="N19" s="572">
        <f t="shared" si="21"/>
        <v>8226.7497509196528</v>
      </c>
      <c r="O19" s="573">
        <f t="shared" si="7"/>
        <v>191806917.47277328</v>
      </c>
      <c r="P19" s="573">
        <f t="shared" si="22"/>
        <v>12084465.03022714</v>
      </c>
      <c r="Q19" s="573">
        <f t="shared" si="8"/>
        <v>10009956.235437002</v>
      </c>
      <c r="R19" s="573">
        <f t="shared" si="9"/>
        <v>11953346.787918061</v>
      </c>
      <c r="S19" s="573">
        <f t="shared" si="10"/>
        <v>111955529.00163223</v>
      </c>
      <c r="T19" s="592" t="s">
        <v>47</v>
      </c>
      <c r="U19" s="586">
        <f t="shared" si="23"/>
        <v>69972550.478013143</v>
      </c>
      <c r="V19" s="586">
        <f t="shared" si="24"/>
        <v>721568462.66469741</v>
      </c>
      <c r="X19" s="255">
        <v>15</v>
      </c>
      <c r="Y19" s="248">
        <f t="shared" si="11"/>
        <v>203183.76853637659</v>
      </c>
      <c r="Z19" s="169">
        <f t="shared" si="12"/>
        <v>133622.17415707844</v>
      </c>
      <c r="AA19" s="244">
        <f t="shared" si="13"/>
        <v>69561.594379298156</v>
      </c>
      <c r="AB19" s="242">
        <v>0</v>
      </c>
      <c r="AC19" s="243">
        <f t="shared" si="26"/>
        <v>1583326.0268527078</v>
      </c>
      <c r="AD19" s="244">
        <f t="shared" si="14"/>
        <v>1583326.0268527078</v>
      </c>
      <c r="AE19" s="252">
        <f t="shared" si="15"/>
        <v>-1513764.4324734097</v>
      </c>
      <c r="AF19" s="252">
        <f t="shared" si="0"/>
        <v>0</v>
      </c>
      <c r="AG19" s="252">
        <f t="shared" si="16"/>
        <v>-1513764.4324734097</v>
      </c>
      <c r="AH19" s="252">
        <f t="shared" si="17"/>
        <v>1583326.0268527078</v>
      </c>
      <c r="AI19" s="255"/>
      <c r="AJ19" s="252">
        <f t="shared" si="3"/>
        <v>69561.594379298156</v>
      </c>
      <c r="AK19" s="252">
        <f t="shared" si="18"/>
        <v>791130.05704399443</v>
      </c>
      <c r="AN19" s="255">
        <v>15</v>
      </c>
      <c r="AO19" s="243">
        <f t="shared" si="4"/>
        <v>-1513764.4324734097</v>
      </c>
      <c r="AP19" s="243">
        <f t="shared" si="5"/>
        <v>-261060836.19340625</v>
      </c>
      <c r="AQ19" s="266">
        <f t="shared" si="1"/>
        <v>0</v>
      </c>
      <c r="AR19" s="254">
        <f t="shared" si="2"/>
        <v>0</v>
      </c>
    </row>
    <row r="20" spans="1:45" ht="15.75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568">
        <v>2033</v>
      </c>
      <c r="K20" s="575">
        <f t="shared" si="19"/>
        <v>0.73273287386050834</v>
      </c>
      <c r="L20" s="576">
        <f t="shared" si="6"/>
        <v>1167170.8395773326</v>
      </c>
      <c r="M20" s="571">
        <f t="shared" si="20"/>
        <v>1125327.0736801899</v>
      </c>
      <c r="N20" s="572">
        <f t="shared" si="21"/>
        <v>8239.089875546033</v>
      </c>
      <c r="O20" s="573">
        <f t="shared" si="7"/>
        <v>191159725.83130059</v>
      </c>
      <c r="P20" s="573">
        <f t="shared" si="22"/>
        <v>12024042.705076002</v>
      </c>
      <c r="Q20" s="573">
        <f t="shared" si="8"/>
        <v>9983456.8890754841</v>
      </c>
      <c r="R20" s="573">
        <f t="shared" si="9"/>
        <v>11893580.053978473</v>
      </c>
      <c r="S20" s="573">
        <f t="shared" si="10"/>
        <v>111745137.21402447</v>
      </c>
      <c r="T20" s="592" t="s">
        <v>47</v>
      </c>
      <c r="U20" s="586">
        <f t="shared" si="23"/>
        <v>69561594.379298165</v>
      </c>
      <c r="V20" s="586">
        <f t="shared" si="24"/>
        <v>791130057.04399562</v>
      </c>
      <c r="X20" s="255">
        <v>16</v>
      </c>
      <c r="Y20" s="248">
        <f t="shared" si="11"/>
        <v>205580.97073647377</v>
      </c>
      <c r="Z20" s="169">
        <f t="shared" si="12"/>
        <v>135142.57458244255</v>
      </c>
      <c r="AA20" s="244">
        <f t="shared" si="13"/>
        <v>70438.396154031216</v>
      </c>
      <c r="AB20" s="242">
        <v>0</v>
      </c>
      <c r="AC20" s="243">
        <f t="shared" si="26"/>
        <v>1583326.0268527078</v>
      </c>
      <c r="AD20" s="244">
        <f t="shared" si="14"/>
        <v>1583326.0268527078</v>
      </c>
      <c r="AE20" s="252">
        <f t="shared" si="15"/>
        <v>-1512887.6306986767</v>
      </c>
      <c r="AF20" s="252">
        <f t="shared" si="0"/>
        <v>0</v>
      </c>
      <c r="AG20" s="252">
        <f t="shared" si="16"/>
        <v>-1512887.6306986767</v>
      </c>
      <c r="AH20" s="252">
        <f t="shared" si="17"/>
        <v>1583326.0268527078</v>
      </c>
      <c r="AI20" s="255"/>
      <c r="AJ20" s="252">
        <f t="shared" si="3"/>
        <v>70438.396154031157</v>
      </c>
      <c r="AK20" s="252">
        <f t="shared" si="18"/>
        <v>861568.45319802559</v>
      </c>
      <c r="AN20" s="255">
        <v>16</v>
      </c>
      <c r="AO20" s="243">
        <f t="shared" si="4"/>
        <v>-1512887.6306986767</v>
      </c>
      <c r="AP20" s="243">
        <f t="shared" si="5"/>
        <v>-262573723.82410493</v>
      </c>
      <c r="AQ20" s="266">
        <f t="shared" si="1"/>
        <v>0</v>
      </c>
      <c r="AR20" s="254">
        <f t="shared" si="2"/>
        <v>0</v>
      </c>
    </row>
    <row r="21" spans="1:45" ht="15.75" thickBot="1" x14ac:dyDescent="0.3">
      <c r="A21" s="1"/>
      <c r="B21" s="100" t="s">
        <v>16</v>
      </c>
      <c r="C21" s="101"/>
      <c r="D21" s="1"/>
      <c r="E21" s="1"/>
      <c r="F21" s="1"/>
      <c r="G21" s="1"/>
      <c r="H21" s="1"/>
      <c r="I21" s="1"/>
      <c r="J21" s="568">
        <v>2034</v>
      </c>
      <c r="K21" s="575">
        <f t="shared" si="19"/>
        <v>0.72906920949120579</v>
      </c>
      <c r="L21" s="576">
        <f t="shared" si="6"/>
        <v>1161334.9853794458</v>
      </c>
      <c r="M21" s="571">
        <f t="shared" si="20"/>
        <v>1119700.438311789</v>
      </c>
      <c r="N21" s="572">
        <f t="shared" si="21"/>
        <v>8251.4485103593524</v>
      </c>
      <c r="O21" s="573">
        <f t="shared" si="7"/>
        <v>193617048.24492314</v>
      </c>
      <c r="P21" s="573">
        <f t="shared" si="22"/>
        <v>11963922.491550623</v>
      </c>
      <c r="Q21" s="573">
        <f t="shared" si="8"/>
        <v>9957090.0394457765</v>
      </c>
      <c r="R21" s="573">
        <f t="shared" si="9"/>
        <v>11834112.153708577</v>
      </c>
      <c r="S21" s="573">
        <f t="shared" si="10"/>
        <v>113351372.38928819</v>
      </c>
      <c r="T21" s="592" t="s">
        <v>47</v>
      </c>
      <c r="U21" s="586">
        <f t="shared" si="23"/>
        <v>70438396.154031217</v>
      </c>
      <c r="V21" s="586">
        <f t="shared" si="24"/>
        <v>861568453.1980269</v>
      </c>
      <c r="X21" s="258">
        <v>17</v>
      </c>
      <c r="Y21" s="249">
        <f t="shared" si="11"/>
        <v>205787.99513281512</v>
      </c>
      <c r="Z21" s="250">
        <f t="shared" si="12"/>
        <v>135383.65183975652</v>
      </c>
      <c r="AA21" s="251">
        <f t="shared" si="13"/>
        <v>70404.343293058599</v>
      </c>
      <c r="AB21" s="256">
        <v>0</v>
      </c>
      <c r="AC21" s="257">
        <f t="shared" si="26"/>
        <v>1583326.0268527078</v>
      </c>
      <c r="AD21" s="251">
        <f t="shared" si="14"/>
        <v>1583326.0268527078</v>
      </c>
      <c r="AE21" s="253">
        <f t="shared" si="15"/>
        <v>-1512921.6835596492</v>
      </c>
      <c r="AF21" s="253">
        <f t="shared" si="0"/>
        <v>0</v>
      </c>
      <c r="AG21" s="253">
        <f t="shared" si="16"/>
        <v>-1512921.6835596492</v>
      </c>
      <c r="AH21" s="253">
        <f t="shared" si="17"/>
        <v>1583326.0268527078</v>
      </c>
      <c r="AI21" s="258"/>
      <c r="AJ21" s="253">
        <f t="shared" si="3"/>
        <v>70404.343293058686</v>
      </c>
      <c r="AK21" s="253">
        <f t="shared" si="18"/>
        <v>931972.79649108427</v>
      </c>
      <c r="AN21" s="258">
        <v>17</v>
      </c>
      <c r="AO21" s="257">
        <f t="shared" si="4"/>
        <v>-1512921.6835596492</v>
      </c>
      <c r="AP21" s="257">
        <f t="shared" si="5"/>
        <v>-264086645.50766459</v>
      </c>
      <c r="AQ21" s="267">
        <f t="shared" si="1"/>
        <v>0</v>
      </c>
      <c r="AR21" s="264">
        <f t="shared" si="2"/>
        <v>0</v>
      </c>
    </row>
    <row r="22" spans="1:45" ht="15.75" thickBot="1" x14ac:dyDescent="0.3">
      <c r="A22" s="1"/>
      <c r="B22" s="32" t="s">
        <v>15</v>
      </c>
      <c r="C22" s="33">
        <v>119.99</v>
      </c>
      <c r="D22" s="1"/>
      <c r="E22" s="1"/>
      <c r="F22" s="1"/>
      <c r="G22" s="1"/>
      <c r="H22" s="1"/>
      <c r="I22" s="1"/>
      <c r="J22" s="577">
        <v>2035</v>
      </c>
      <c r="K22" s="578">
        <f t="shared" si="19"/>
        <v>0.72542386344374976</v>
      </c>
      <c r="L22" s="579">
        <f t="shared" si="6"/>
        <v>1155528.3104525488</v>
      </c>
      <c r="M22" s="580">
        <f t="shared" si="20"/>
        <v>1114101.93612023</v>
      </c>
      <c r="N22" s="581">
        <f t="shared" si="21"/>
        <v>8263.8256831248927</v>
      </c>
      <c r="O22" s="582">
        <f t="shared" si="7"/>
        <v>193883892.25372225</v>
      </c>
      <c r="P22" s="582">
        <f t="shared" si="22"/>
        <v>11904102.879092868</v>
      </c>
      <c r="Q22" s="582">
        <f t="shared" si="8"/>
        <v>9930855.0240642168</v>
      </c>
      <c r="R22" s="582">
        <f t="shared" si="9"/>
        <v>11774941.592940036</v>
      </c>
      <c r="S22" s="582">
        <f t="shared" si="10"/>
        <v>113677855.22275226</v>
      </c>
      <c r="T22" s="593" t="s">
        <v>47</v>
      </c>
      <c r="U22" s="588">
        <f t="shared" si="23"/>
        <v>70404343.293058619</v>
      </c>
      <c r="V22" s="588">
        <f t="shared" si="24"/>
        <v>931972796.49108553</v>
      </c>
      <c r="Y22" s="227"/>
      <c r="AB22" s="158"/>
    </row>
    <row r="23" spans="1:45" ht="15.75" thickBot="1" x14ac:dyDescent="0.3">
      <c r="A23" s="1"/>
      <c r="B23" s="34" t="s">
        <v>44</v>
      </c>
      <c r="C23" s="35">
        <f>M34*(1+K25)*(1+K26)</f>
        <v>25902.654907850621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AE23" s="158"/>
      <c r="AI23" s="213">
        <v>0.1</v>
      </c>
      <c r="AJ23" s="213">
        <v>0.05</v>
      </c>
      <c r="AM23" s="95"/>
    </row>
    <row r="24" spans="1:45" ht="15.75" customHeight="1" thickBot="1" x14ac:dyDescent="0.3">
      <c r="A24" s="1"/>
      <c r="B24" s="34" t="s">
        <v>45</v>
      </c>
      <c r="C24" s="38">
        <f>O34*(1+K25)*(1+K26)</f>
        <v>4.5180788853938365</v>
      </c>
      <c r="D24" s="1"/>
      <c r="E24" s="877" t="s">
        <v>17</v>
      </c>
      <c r="F24" s="878"/>
      <c r="G24" s="878"/>
      <c r="H24" s="879"/>
      <c r="I24" s="1"/>
      <c r="J24" s="752" t="s">
        <v>40</v>
      </c>
      <c r="K24" s="753"/>
      <c r="L24" s="1"/>
      <c r="M24" s="1"/>
      <c r="N24" s="1"/>
      <c r="O24" s="1"/>
      <c r="P24" s="1"/>
      <c r="Q24" s="31"/>
      <c r="R24" s="31"/>
      <c r="S24" s="1"/>
      <c r="T24" s="1"/>
      <c r="U24" s="1"/>
      <c r="X24" s="761" t="s">
        <v>7</v>
      </c>
      <c r="Y24" s="732" t="s">
        <v>185</v>
      </c>
      <c r="Z24" s="738" t="s">
        <v>228</v>
      </c>
      <c r="AA24" s="409" t="s">
        <v>229</v>
      </c>
      <c r="AB24" s="861" t="s">
        <v>185</v>
      </c>
      <c r="AC24" s="417" t="s">
        <v>230</v>
      </c>
      <c r="AD24" s="417" t="s">
        <v>231</v>
      </c>
      <c r="AE24" s="411" t="s">
        <v>136</v>
      </c>
      <c r="AF24" s="413"/>
      <c r="AG24" s="409"/>
      <c r="AH24" s="732" t="s">
        <v>232</v>
      </c>
      <c r="AI24" s="738" t="s">
        <v>233</v>
      </c>
      <c r="AJ24" s="734" t="s">
        <v>234</v>
      </c>
      <c r="AK24" s="732" t="s">
        <v>235</v>
      </c>
      <c r="AL24" s="732" t="s">
        <v>186</v>
      </c>
      <c r="AM24" s="732" t="s">
        <v>237</v>
      </c>
      <c r="AN24" s="405" t="s">
        <v>155</v>
      </c>
      <c r="AO24" s="405" t="s">
        <v>156</v>
      </c>
      <c r="AP24" s="407"/>
      <c r="AQ24" s="407"/>
      <c r="AR24" s="407"/>
      <c r="AS24" s="408"/>
    </row>
    <row r="25" spans="1:45" ht="15.75" thickBot="1" x14ac:dyDescent="0.3">
      <c r="A25" s="1"/>
      <c r="B25" s="34" t="s">
        <v>50</v>
      </c>
      <c r="C25" s="38">
        <f>K34*(1+K25)*(1+K26)</f>
        <v>1039.7565646850053</v>
      </c>
      <c r="D25" s="1"/>
      <c r="E25" s="79" t="s">
        <v>7</v>
      </c>
      <c r="F25" s="80" t="s">
        <v>20</v>
      </c>
      <c r="G25" s="114" t="s">
        <v>18</v>
      </c>
      <c r="H25" s="81" t="s">
        <v>76</v>
      </c>
      <c r="I25" s="1"/>
      <c r="J25" s="56">
        <v>2016</v>
      </c>
      <c r="K25" s="58">
        <v>2.07E-2</v>
      </c>
      <c r="L25" s="1">
        <v>2.0699999999999998</v>
      </c>
      <c r="M25" s="1"/>
      <c r="N25" s="1"/>
      <c r="O25" s="1"/>
      <c r="P25" s="1"/>
      <c r="Q25" s="757" t="s">
        <v>278</v>
      </c>
      <c r="R25" s="759"/>
      <c r="U25" s="1"/>
      <c r="X25" s="762"/>
      <c r="Y25" s="733"/>
      <c r="Z25" s="739"/>
      <c r="AA25" s="481">
        <v>0.13</v>
      </c>
      <c r="AB25" s="862"/>
      <c r="AC25" s="483">
        <v>0.13</v>
      </c>
      <c r="AD25" s="483">
        <v>0.13</v>
      </c>
      <c r="AE25" s="412" t="s">
        <v>184</v>
      </c>
      <c r="AF25" s="414" t="s">
        <v>183</v>
      </c>
      <c r="AG25" s="410"/>
      <c r="AH25" s="733"/>
      <c r="AI25" s="739"/>
      <c r="AJ25" s="735"/>
      <c r="AK25" s="733"/>
      <c r="AL25" s="733"/>
      <c r="AM25" s="733"/>
      <c r="AN25" s="406"/>
      <c r="AO25" s="406"/>
      <c r="AP25" s="291" t="s">
        <v>148</v>
      </c>
      <c r="AQ25" s="262" t="s">
        <v>149</v>
      </c>
      <c r="AR25" s="265"/>
      <c r="AS25" s="263" t="s">
        <v>152</v>
      </c>
    </row>
    <row r="26" spans="1:45" ht="15.75" customHeight="1" thickBot="1" x14ac:dyDescent="0.3">
      <c r="A26" s="1"/>
      <c r="B26" s="173" t="s">
        <v>116</v>
      </c>
      <c r="C26" s="174">
        <v>7.8</v>
      </c>
      <c r="D26" s="1"/>
      <c r="E26" s="103">
        <v>2019</v>
      </c>
      <c r="F26" s="109">
        <v>8.66</v>
      </c>
      <c r="G26" s="110">
        <f t="shared" ref="G26:G42" si="27">F26*$E$14</f>
        <v>8.2080952199999994E-6</v>
      </c>
      <c r="H26" s="115" t="s">
        <v>47</v>
      </c>
      <c r="I26" s="1"/>
      <c r="J26" s="57">
        <v>2017</v>
      </c>
      <c r="K26" s="55">
        <v>2.1100000000000001E-2</v>
      </c>
      <c r="L26" s="1">
        <v>2.11</v>
      </c>
      <c r="M26" s="1"/>
      <c r="N26" s="1"/>
      <c r="O26" s="1"/>
      <c r="P26" s="1"/>
      <c r="Q26" s="32" t="s">
        <v>48</v>
      </c>
      <c r="R26" s="299">
        <v>0.12</v>
      </c>
      <c r="U26" s="1"/>
      <c r="X26" s="484">
        <v>0</v>
      </c>
      <c r="Y26" s="485"/>
      <c r="Z26" s="486"/>
      <c r="AA26" s="487"/>
      <c r="AB26" s="488"/>
      <c r="AC26" s="489">
        <f>-U5*$AC$25</f>
        <v>19603084.141985908</v>
      </c>
      <c r="AD26" s="488"/>
      <c r="AE26" s="486"/>
      <c r="AF26" s="490"/>
      <c r="AG26" s="487"/>
      <c r="AH26" s="485"/>
      <c r="AI26" s="486"/>
      <c r="AJ26" s="487"/>
      <c r="AK26" s="485"/>
      <c r="AL26" s="485"/>
      <c r="AM26" s="485">
        <f>U5</f>
        <v>-150792954.93835312</v>
      </c>
      <c r="AN26" s="275">
        <f>AK26+AL26-AM26</f>
        <v>150792954.93835312</v>
      </c>
      <c r="AO26" s="275">
        <f>AN26</f>
        <v>150792954.93835312</v>
      </c>
      <c r="AP26" s="292"/>
      <c r="AQ26" s="161"/>
      <c r="AR26" s="266">
        <f>IF(AQ26&gt;0,1,0)</f>
        <v>0</v>
      </c>
      <c r="AS26" s="254">
        <f t="shared" ref="AS26:AS43" si="28">MIN(AP26:AQ26)*AR26*$S$60</f>
        <v>0</v>
      </c>
    </row>
    <row r="27" spans="1:45" ht="15" customHeight="1" x14ac:dyDescent="0.25">
      <c r="A27" s="1"/>
      <c r="B27" s="116"/>
      <c r="C27" s="116"/>
      <c r="D27" s="1"/>
      <c r="E27" s="43">
        <v>2020</v>
      </c>
      <c r="F27" s="36">
        <v>9.1999999999999993</v>
      </c>
      <c r="G27" s="107">
        <f t="shared" si="27"/>
        <v>8.7199163999999995E-6</v>
      </c>
      <c r="H27" s="111">
        <f>(G27-G26)/G26</f>
        <v>6.2355658198614335E-2</v>
      </c>
      <c r="I27" s="1"/>
      <c r="J27" s="59"/>
      <c r="K27" s="60"/>
      <c r="L27" s="1"/>
      <c r="M27" s="1"/>
      <c r="N27" s="1"/>
      <c r="O27" s="1"/>
      <c r="P27" s="1"/>
      <c r="Q27" s="34" t="s">
        <v>22</v>
      </c>
      <c r="R27" s="90">
        <v>17</v>
      </c>
      <c r="U27" s="1"/>
      <c r="V27" s="158"/>
      <c r="X27" s="484">
        <v>1</v>
      </c>
      <c r="Y27" s="485">
        <f>U6</f>
        <v>51704777.916459918</v>
      </c>
      <c r="Z27" s="486">
        <f>'Análisis Finan CCGT GT Sauz'!I13</f>
        <v>16137954.865897637</v>
      </c>
      <c r="AA27" s="487">
        <f>'Análisis Finan ISCC Nuevo'!G13*'Análisis Econ CCGT GT Sauz'!$AA$25</f>
        <v>773520.74863982131</v>
      </c>
      <c r="AB27" s="491">
        <f>Y27-Z27-AA27</f>
        <v>34793302.301922455</v>
      </c>
      <c r="AC27" s="491">
        <f>(Q6+R6+S6)*$AC$25-U5*$AC$25+AA27</f>
        <v>34161470.923543155</v>
      </c>
      <c r="AD27" s="489">
        <f>(O6+P6)*$AD$25</f>
        <v>20506487.16205721</v>
      </c>
      <c r="AE27" s="486">
        <f>U57</f>
        <v>23825286.880259797</v>
      </c>
      <c r="AF27" s="490">
        <f>U58</f>
        <v>1583326.0268527078</v>
      </c>
      <c r="AG27" s="487"/>
      <c r="AH27" s="492">
        <f>AD27-AC27</f>
        <v>-13654983.761485945</v>
      </c>
      <c r="AI27" s="486">
        <f>U6*$AI$23</f>
        <v>5170477.7916459925</v>
      </c>
      <c r="AJ27" s="487">
        <f>U6*$AJ$23</f>
        <v>2585238.8958229963</v>
      </c>
      <c r="AK27" s="485">
        <f>AB27-AI27-AJ27</f>
        <v>27037585.614453465</v>
      </c>
      <c r="AL27" s="485">
        <f>AB27-AE27-AF27-AI27-AJ27</f>
        <v>1628972.7073409613</v>
      </c>
      <c r="AM27" s="485">
        <f>AM26+AL27</f>
        <v>-149163982.23101217</v>
      </c>
      <c r="AN27" s="275">
        <f t="shared" ref="AN27:AN43" si="29">AK27+AL27+AM27</f>
        <v>-120497423.90921775</v>
      </c>
      <c r="AO27" s="275">
        <f t="shared" ref="AO27:AO43" si="30">AO26+AN27</f>
        <v>30295531.029135376</v>
      </c>
      <c r="AP27" s="242">
        <f t="shared" ref="AP27:AP43" si="31">AI27</f>
        <v>5170477.7916459925</v>
      </c>
      <c r="AQ27" s="243">
        <f t="shared" ref="AQ27:AQ43" si="32">AP27+AQ26</f>
        <v>5170477.7916459925</v>
      </c>
      <c r="AR27" s="266">
        <f t="shared" ref="AR27:AR43" si="33">IF(AQ27&gt;0,1,0)</f>
        <v>1</v>
      </c>
      <c r="AS27" s="254">
        <f t="shared" si="28"/>
        <v>1551143.3374937978</v>
      </c>
    </row>
    <row r="28" spans="1:45" x14ac:dyDescent="0.25">
      <c r="A28" s="1"/>
      <c r="D28" s="1"/>
      <c r="E28" s="43">
        <v>2021</v>
      </c>
      <c r="F28" s="36">
        <v>9.61</v>
      </c>
      <c r="G28" s="107">
        <f t="shared" si="27"/>
        <v>9.1085213699999987E-6</v>
      </c>
      <c r="H28" s="111">
        <f t="shared" ref="H28:H42" si="34">(G28-G27)/G27</f>
        <v>4.456521739130425E-2</v>
      </c>
      <c r="I28" s="1"/>
      <c r="J28" s="1"/>
      <c r="K28" s="1"/>
      <c r="L28" s="1"/>
      <c r="M28" s="1"/>
      <c r="N28" s="1"/>
      <c r="O28" s="1"/>
      <c r="P28" s="1"/>
      <c r="Q28" s="34" t="s">
        <v>167</v>
      </c>
      <c r="R28" s="539">
        <f>NPV(R26,U6:U22)</f>
        <v>432911501.67248261</v>
      </c>
      <c r="T28" t="s">
        <v>253</v>
      </c>
      <c r="U28" s="1" t="s">
        <v>255</v>
      </c>
      <c r="V28" s="158" t="s">
        <v>254</v>
      </c>
      <c r="X28" s="484">
        <v>2</v>
      </c>
      <c r="Y28" s="485">
        <f t="shared" ref="Y28:Y43" si="35">U7</f>
        <v>55133719.955486447</v>
      </c>
      <c r="Z28" s="486">
        <f>'Análisis Finan CCGT GT Sauz'!I14</f>
        <v>16137954.865897637</v>
      </c>
      <c r="AA28" s="487">
        <f>'Análisis Finan ISCC Nuevo'!G14*'Análisis Econ CCGT GT Sauz'!$AA$25</f>
        <v>706911.48841731937</v>
      </c>
      <c r="AB28" s="491">
        <f t="shared" ref="AB28:AB43" si="36">Y28-Z28-AA28</f>
        <v>38288853.601171486</v>
      </c>
      <c r="AC28" s="491">
        <f>(Q7+R7+S7)*$AC$25-AA28</f>
        <v>13697929.015840316</v>
      </c>
      <c r="AD28" s="489">
        <f t="shared" ref="AD28:AD43" si="37">(O7+P7)*$AD$25</f>
        <v>21572224.098470878</v>
      </c>
      <c r="AE28" s="486">
        <f t="shared" ref="AE28:AF43" si="38">AE27</f>
        <v>23825286.880259797</v>
      </c>
      <c r="AF28" s="490">
        <f t="shared" si="38"/>
        <v>1583326.0268527078</v>
      </c>
      <c r="AG28" s="487"/>
      <c r="AH28" s="492">
        <f t="shared" ref="AH28:AH43" si="39">AD28-AC28</f>
        <v>7874295.0826305617</v>
      </c>
      <c r="AI28" s="486">
        <f t="shared" ref="AI28:AI43" si="40">U7*$AI$23</f>
        <v>5513371.995548645</v>
      </c>
      <c r="AJ28" s="487">
        <f t="shared" ref="AJ28:AJ43" si="41">U7*$AJ$23</f>
        <v>2756685.9977743225</v>
      </c>
      <c r="AK28" s="485">
        <f t="shared" ref="AK28:AK43" si="42">AB28-AI28-AJ28</f>
        <v>30018795.607848521</v>
      </c>
      <c r="AL28" s="485">
        <f t="shared" ref="AL28:AL43" si="43">AB28-AE28-AF28-AI28-AJ28</f>
        <v>4610182.7007360132</v>
      </c>
      <c r="AM28" s="485">
        <f t="shared" ref="AM28:AM43" si="44">AM27+AL28</f>
        <v>-144553799.53027615</v>
      </c>
      <c r="AN28" s="275">
        <f t="shared" si="29"/>
        <v>-109924821.22169161</v>
      </c>
      <c r="AO28" s="275">
        <f t="shared" si="30"/>
        <v>-79629290.192556232</v>
      </c>
      <c r="AP28" s="242">
        <f t="shared" si="31"/>
        <v>5513371.995548645</v>
      </c>
      <c r="AQ28" s="243">
        <f t="shared" si="32"/>
        <v>10683849.787194638</v>
      </c>
      <c r="AR28" s="266">
        <f t="shared" si="33"/>
        <v>1</v>
      </c>
      <c r="AS28" s="254">
        <f t="shared" si="28"/>
        <v>1654011.5986645934</v>
      </c>
    </row>
    <row r="29" spans="1:45" ht="15.75" thickBot="1" x14ac:dyDescent="0.3">
      <c r="A29" s="1"/>
      <c r="B29" s="1"/>
      <c r="C29" s="1"/>
      <c r="D29" s="1"/>
      <c r="E29" s="43">
        <v>2022</v>
      </c>
      <c r="F29" s="36">
        <v>9.93</v>
      </c>
      <c r="G29" s="107">
        <f t="shared" si="27"/>
        <v>9.4118228099999998E-6</v>
      </c>
      <c r="H29" s="111">
        <f t="shared" si="34"/>
        <v>3.3298647242455903E-2</v>
      </c>
      <c r="I29" s="1"/>
      <c r="J29" s="1"/>
      <c r="K29" s="1"/>
      <c r="L29" s="1"/>
      <c r="M29" s="1"/>
      <c r="N29" s="1"/>
      <c r="O29" s="1"/>
      <c r="P29" s="1"/>
      <c r="Q29" s="34" t="s">
        <v>158</v>
      </c>
      <c r="R29" s="539">
        <f>R28+U5</f>
        <v>282118546.73412949</v>
      </c>
      <c r="T29">
        <v>1</v>
      </c>
      <c r="U29" s="228">
        <f>R28/T29</f>
        <v>432911501.67248261</v>
      </c>
      <c r="V29" s="541">
        <f>U29-T40-T41</f>
        <v>303804048.09023201</v>
      </c>
      <c r="X29" s="484">
        <v>3</v>
      </c>
      <c r="Y29" s="485">
        <f t="shared" si="35"/>
        <v>57594682.329771429</v>
      </c>
      <c r="Z29" s="486">
        <f>'Análisis Finan CCGT GT Sauz'!I15</f>
        <v>16137954.865897637</v>
      </c>
      <c r="AA29" s="487">
        <f>'Análisis Finan ISCC Nuevo'!G15*'Análisis Econ CCGT GT Sauz'!$AA$25</f>
        <v>638117.44445951923</v>
      </c>
      <c r="AB29" s="491">
        <f t="shared" si="36"/>
        <v>40818610.019414268</v>
      </c>
      <c r="AC29" s="491">
        <f t="shared" ref="AC29:AC43" si="45">(Q8+R8+S8)*$AC$25-AA29</f>
        <v>14221521.072127905</v>
      </c>
      <c r="AD29" s="489">
        <f t="shared" si="37"/>
        <v>22346947.219457708</v>
      </c>
      <c r="AE29" s="486">
        <f t="shared" si="38"/>
        <v>23825286.880259797</v>
      </c>
      <c r="AF29" s="490">
        <f t="shared" si="38"/>
        <v>1583326.0268527078</v>
      </c>
      <c r="AG29" s="487"/>
      <c r="AH29" s="492">
        <f t="shared" si="39"/>
        <v>8125426.1473298036</v>
      </c>
      <c r="AI29" s="486">
        <f t="shared" si="40"/>
        <v>5759468.2329771435</v>
      </c>
      <c r="AJ29" s="487">
        <f t="shared" si="41"/>
        <v>2879734.1164885717</v>
      </c>
      <c r="AK29" s="485">
        <f t="shared" si="42"/>
        <v>32179407.669948552</v>
      </c>
      <c r="AL29" s="485">
        <f t="shared" si="43"/>
        <v>6770794.7628360465</v>
      </c>
      <c r="AM29" s="485">
        <f t="shared" si="44"/>
        <v>-137783004.76744011</v>
      </c>
      <c r="AN29" s="275">
        <f t="shared" si="29"/>
        <v>-98832802.334655508</v>
      </c>
      <c r="AO29" s="275">
        <f t="shared" si="30"/>
        <v>-178462092.52721173</v>
      </c>
      <c r="AP29" s="242">
        <f t="shared" si="31"/>
        <v>5759468.2329771435</v>
      </c>
      <c r="AQ29" s="243">
        <f t="shared" si="32"/>
        <v>16443318.02017178</v>
      </c>
      <c r="AR29" s="266">
        <f t="shared" si="33"/>
        <v>1</v>
      </c>
      <c r="AS29" s="254">
        <f t="shared" si="28"/>
        <v>1727840.469893143</v>
      </c>
    </row>
    <row r="30" spans="1:45" ht="15.75" customHeight="1" thickBot="1" x14ac:dyDescent="0.3">
      <c r="A30" s="77" t="s">
        <v>7</v>
      </c>
      <c r="B30" s="78" t="s">
        <v>39</v>
      </c>
      <c r="C30" s="1"/>
      <c r="D30" s="1"/>
      <c r="E30" s="43">
        <v>2023</v>
      </c>
      <c r="F30" s="36">
        <v>10.119999999999999</v>
      </c>
      <c r="G30" s="107">
        <f t="shared" si="27"/>
        <v>9.59190804E-6</v>
      </c>
      <c r="H30" s="111">
        <f t="shared" si="34"/>
        <v>1.9133937562940604E-2</v>
      </c>
      <c r="I30" s="1"/>
      <c r="J30" s="752" t="s">
        <v>33</v>
      </c>
      <c r="K30" s="753"/>
      <c r="L30" s="752" t="s">
        <v>34</v>
      </c>
      <c r="M30" s="753"/>
      <c r="N30" s="752" t="s">
        <v>37</v>
      </c>
      <c r="O30" s="753"/>
      <c r="P30" s="163"/>
      <c r="Q30" s="34" t="s">
        <v>159</v>
      </c>
      <c r="R30" s="300">
        <f>-PMT(R26,R27,R29)</f>
        <v>39625447.843346626</v>
      </c>
      <c r="T30" s="293">
        <f>R31</f>
        <v>2.8709000486757796</v>
      </c>
      <c r="U30" s="212">
        <f>R28/T30</f>
        <v>150792954.93835312</v>
      </c>
      <c r="V30" s="158">
        <f>U30-T40-T41</f>
        <v>21685501.356102586</v>
      </c>
      <c r="X30" s="484">
        <v>4</v>
      </c>
      <c r="Y30" s="485">
        <f t="shared" si="35"/>
        <v>59387508.43760024</v>
      </c>
      <c r="Z30" s="486">
        <f>'Análisis Finan CCGT GT Sauz'!I16</f>
        <v>16137954.865897637</v>
      </c>
      <c r="AA30" s="487">
        <f>'Análisis Finan ISCC Nuevo'!G16*'Análisis Econ CCGT GT Sauz'!$AA$25</f>
        <v>567066.95585990325</v>
      </c>
      <c r="AB30" s="491">
        <f t="shared" si="36"/>
        <v>42682486.6158427</v>
      </c>
      <c r="AC30" s="491">
        <f t="shared" si="45"/>
        <v>14633171.436678274</v>
      </c>
      <c r="AD30" s="489">
        <f t="shared" si="37"/>
        <v>22920614.489426207</v>
      </c>
      <c r="AE30" s="486">
        <f t="shared" si="38"/>
        <v>23825286.880259797</v>
      </c>
      <c r="AF30" s="490">
        <f t="shared" si="38"/>
        <v>1583326.0268527078</v>
      </c>
      <c r="AG30" s="487"/>
      <c r="AH30" s="492">
        <f t="shared" si="39"/>
        <v>8287443.0527479332</v>
      </c>
      <c r="AI30" s="486">
        <f t="shared" si="40"/>
        <v>5938750.8437600248</v>
      </c>
      <c r="AJ30" s="487">
        <f t="shared" si="41"/>
        <v>2969375.4218800124</v>
      </c>
      <c r="AK30" s="485">
        <f t="shared" si="42"/>
        <v>33774360.350202657</v>
      </c>
      <c r="AL30" s="485">
        <f t="shared" si="43"/>
        <v>8365747.4430901576</v>
      </c>
      <c r="AM30" s="485">
        <f t="shared" si="44"/>
        <v>-129417257.32434995</v>
      </c>
      <c r="AN30" s="275">
        <f t="shared" si="29"/>
        <v>-87277149.531057149</v>
      </c>
      <c r="AO30" s="275">
        <f t="shared" si="30"/>
        <v>-265739242.05826887</v>
      </c>
      <c r="AP30" s="242">
        <f t="shared" si="31"/>
        <v>5938750.8437600248</v>
      </c>
      <c r="AQ30" s="243">
        <f t="shared" si="32"/>
        <v>22382068.863931805</v>
      </c>
      <c r="AR30" s="266">
        <f t="shared" si="33"/>
        <v>1</v>
      </c>
      <c r="AS30" s="254">
        <f t="shared" si="28"/>
        <v>1781625.2531280073</v>
      </c>
    </row>
    <row r="31" spans="1:45" ht="15" customHeight="1" x14ac:dyDescent="0.25">
      <c r="A31" s="103">
        <v>2019</v>
      </c>
      <c r="B31" s="104">
        <f>C22</f>
        <v>119.99</v>
      </c>
      <c r="C31" s="1"/>
      <c r="D31" s="1"/>
      <c r="E31" s="43">
        <v>2024</v>
      </c>
      <c r="F31" s="36">
        <v>10.3</v>
      </c>
      <c r="G31" s="107">
        <f t="shared" si="27"/>
        <v>9.7625151000000011E-6</v>
      </c>
      <c r="H31" s="111">
        <f t="shared" si="34"/>
        <v>1.7786561264822254E-2</v>
      </c>
      <c r="I31" s="1"/>
      <c r="J31" s="32" t="s">
        <v>28</v>
      </c>
      <c r="K31" s="33">
        <v>285.7</v>
      </c>
      <c r="L31" s="32" t="s">
        <v>28</v>
      </c>
      <c r="M31" s="33">
        <v>285.7</v>
      </c>
      <c r="N31" s="32" t="s">
        <v>28</v>
      </c>
      <c r="O31" s="33">
        <v>285.7</v>
      </c>
      <c r="P31" s="161"/>
      <c r="Q31" s="34" t="s">
        <v>52</v>
      </c>
      <c r="R31" s="301">
        <f>R28/(-U5)</f>
        <v>2.8709000486757796</v>
      </c>
      <c r="T31" s="293">
        <f>'Análisis Econ CCGT Nuevo'!T30</f>
        <v>2.8709000486757796</v>
      </c>
      <c r="U31" s="212">
        <f>R28/T31</f>
        <v>150792954.93835312</v>
      </c>
      <c r="V31" s="542">
        <f>U31-T40-T41</f>
        <v>21685501.356102586</v>
      </c>
      <c r="X31" s="484">
        <v>5</v>
      </c>
      <c r="Y31" s="485">
        <f t="shared" si="35"/>
        <v>60247696.896535173</v>
      </c>
      <c r="Z31" s="486">
        <f>'Análisis Finan CCGT GT Sauz'!I17</f>
        <v>16137954.865897637</v>
      </c>
      <c r="AA31" s="487">
        <f>'Análisis Finan ISCC Nuevo'!G17*'Análisis Econ CCGT GT Sauz'!$AA$25</f>
        <v>493686.01123421994</v>
      </c>
      <c r="AB31" s="491">
        <f t="shared" si="36"/>
        <v>43616056.019403316</v>
      </c>
      <c r="AC31" s="491">
        <f t="shared" si="45"/>
        <v>14885047.463091344</v>
      </c>
      <c r="AD31" s="489">
        <f t="shared" si="37"/>
        <v>23210934.070875134</v>
      </c>
      <c r="AE31" s="486">
        <f t="shared" si="38"/>
        <v>23825286.880259797</v>
      </c>
      <c r="AF31" s="490">
        <f t="shared" si="38"/>
        <v>1583326.0268527078</v>
      </c>
      <c r="AG31" s="487"/>
      <c r="AH31" s="492">
        <f t="shared" si="39"/>
        <v>8325886.6077837907</v>
      </c>
      <c r="AI31" s="486">
        <f t="shared" si="40"/>
        <v>6024769.6896535177</v>
      </c>
      <c r="AJ31" s="487">
        <f t="shared" si="41"/>
        <v>3012384.8448267588</v>
      </c>
      <c r="AK31" s="485">
        <f t="shared" si="42"/>
        <v>34578901.484923042</v>
      </c>
      <c r="AL31" s="485">
        <f t="shared" si="43"/>
        <v>9170288.5778105333</v>
      </c>
      <c r="AM31" s="485">
        <f t="shared" si="44"/>
        <v>-120246968.74653941</v>
      </c>
      <c r="AN31" s="275">
        <f t="shared" si="29"/>
        <v>-76497778.683805838</v>
      </c>
      <c r="AO31" s="275">
        <f t="shared" si="30"/>
        <v>-342237020.74207473</v>
      </c>
      <c r="AP31" s="242">
        <f t="shared" si="31"/>
        <v>6024769.6896535177</v>
      </c>
      <c r="AQ31" s="243">
        <f t="shared" si="32"/>
        <v>28406838.553585321</v>
      </c>
      <c r="AR31" s="266">
        <f t="shared" si="33"/>
        <v>1</v>
      </c>
      <c r="AS31" s="254">
        <f t="shared" si="28"/>
        <v>1807430.9068960552</v>
      </c>
    </row>
    <row r="32" spans="1:45" ht="15" customHeight="1" x14ac:dyDescent="0.25">
      <c r="A32" s="43">
        <v>2020</v>
      </c>
      <c r="B32" s="102">
        <f>B31*(1+H27)</f>
        <v>127.47205542725175</v>
      </c>
      <c r="C32" s="1"/>
      <c r="D32" s="1"/>
      <c r="E32" s="43">
        <v>2025</v>
      </c>
      <c r="F32" s="36">
        <v>10.61</v>
      </c>
      <c r="G32" s="107">
        <f t="shared" si="27"/>
        <v>1.005633837E-5</v>
      </c>
      <c r="H32" s="111">
        <f t="shared" si="34"/>
        <v>3.0097087378640641E-2</v>
      </c>
      <c r="I32" s="1"/>
      <c r="J32" s="34" t="s">
        <v>29</v>
      </c>
      <c r="K32" s="35">
        <f>E4</f>
        <v>181.83799999999999</v>
      </c>
      <c r="L32" s="34" t="s">
        <v>29</v>
      </c>
      <c r="M32" s="35">
        <f>E4</f>
        <v>181.83799999999999</v>
      </c>
      <c r="N32" s="34" t="s">
        <v>29</v>
      </c>
      <c r="O32" s="35">
        <f>E4</f>
        <v>181.83799999999999</v>
      </c>
      <c r="P32" s="161"/>
      <c r="Q32" s="34" t="s">
        <v>53</v>
      </c>
      <c r="R32" s="302">
        <f>IRR(U5:U22)</f>
        <v>0.37699670832953092</v>
      </c>
      <c r="U32" s="1"/>
      <c r="X32" s="484">
        <v>6</v>
      </c>
      <c r="Y32" s="485">
        <f t="shared" si="35"/>
        <v>61023075.13008593</v>
      </c>
      <c r="Z32" s="486">
        <f>'Análisis Finan CCGT GT Sauz'!I18</f>
        <v>16137954.865897637</v>
      </c>
      <c r="AA32" s="487">
        <f>'Análisis Finan ISCC Nuevo'!G18*'Análisis Econ CCGT GT Sauz'!$AA$25</f>
        <v>417898.17162481416</v>
      </c>
      <c r="AB32" s="491">
        <f t="shared" si="36"/>
        <v>44467222.092563473</v>
      </c>
      <c r="AC32" s="491">
        <f t="shared" si="45"/>
        <v>15125674.34257837</v>
      </c>
      <c r="AD32" s="489">
        <f t="shared" si="37"/>
        <v>23476572.281114355</v>
      </c>
      <c r="AE32" s="486">
        <v>0</v>
      </c>
      <c r="AF32" s="490">
        <f t="shared" si="38"/>
        <v>1583326.0268527078</v>
      </c>
      <c r="AG32" s="487"/>
      <c r="AH32" s="492">
        <f t="shared" si="39"/>
        <v>8350897.9385359846</v>
      </c>
      <c r="AI32" s="486">
        <f t="shared" si="40"/>
        <v>6102307.5130085936</v>
      </c>
      <c r="AJ32" s="487">
        <f t="shared" si="41"/>
        <v>3051153.7565042968</v>
      </c>
      <c r="AK32" s="485">
        <f t="shared" si="42"/>
        <v>35313760.823050581</v>
      </c>
      <c r="AL32" s="485">
        <f t="shared" si="43"/>
        <v>33730434.796197876</v>
      </c>
      <c r="AM32" s="485">
        <f t="shared" si="44"/>
        <v>-86516533.950341538</v>
      </c>
      <c r="AN32" s="275">
        <f t="shared" si="29"/>
        <v>-17472338.331093088</v>
      </c>
      <c r="AO32" s="275">
        <f t="shared" si="30"/>
        <v>-359709359.0731678</v>
      </c>
      <c r="AP32" s="242">
        <f t="shared" si="31"/>
        <v>6102307.5130085936</v>
      </c>
      <c r="AQ32" s="243">
        <f t="shared" si="32"/>
        <v>34509146.066593915</v>
      </c>
      <c r="AR32" s="266">
        <f t="shared" si="33"/>
        <v>1</v>
      </c>
      <c r="AS32" s="254">
        <f t="shared" si="28"/>
        <v>1830692.253902578</v>
      </c>
    </row>
    <row r="33" spans="1:45" x14ac:dyDescent="0.25">
      <c r="A33" s="43">
        <v>2021</v>
      </c>
      <c r="B33" s="102">
        <f t="shared" ref="B33:B47" si="46">B32*(1+H28)</f>
        <v>133.15287528868362</v>
      </c>
      <c r="C33" s="1"/>
      <c r="D33" s="1"/>
      <c r="E33" s="43">
        <v>2026</v>
      </c>
      <c r="F33" s="36">
        <v>10.89</v>
      </c>
      <c r="G33" s="107">
        <f t="shared" si="27"/>
        <v>1.032172713E-5</v>
      </c>
      <c r="H33" s="111">
        <f t="shared" si="34"/>
        <v>2.6390197926484442E-2</v>
      </c>
      <c r="I33" s="1"/>
      <c r="J33" s="34" t="s">
        <v>30</v>
      </c>
      <c r="K33" s="35">
        <v>695</v>
      </c>
      <c r="L33" s="34" t="s">
        <v>35</v>
      </c>
      <c r="M33" s="35">
        <v>17314</v>
      </c>
      <c r="N33" s="34" t="s">
        <v>38</v>
      </c>
      <c r="O33" s="35">
        <v>3.02</v>
      </c>
      <c r="P33" s="161"/>
      <c r="Q33" s="34" t="s">
        <v>54</v>
      </c>
      <c r="R33" s="302">
        <f>MIRR(U5:U23,R32,R26)</f>
        <v>0.19168167822219795</v>
      </c>
      <c r="T33" t="s">
        <v>267</v>
      </c>
      <c r="U33" s="1"/>
      <c r="V33" s="521">
        <v>4</v>
      </c>
      <c r="W33" s="521">
        <v>6</v>
      </c>
      <c r="X33" s="484">
        <v>7</v>
      </c>
      <c r="Y33" s="485">
        <f t="shared" si="35"/>
        <v>62675042.865443617</v>
      </c>
      <c r="Z33" s="486">
        <f>'Análisis Finan CCGT GT Sauz'!I19</f>
        <v>16137954.865897637</v>
      </c>
      <c r="AA33" s="487">
        <f>'Análisis Finan ISCC Nuevo'!G19*'Análisis Econ CCGT GT Sauz'!$AA$25</f>
        <v>339624.49087621988</v>
      </c>
      <c r="AB33" s="491">
        <f t="shared" si="36"/>
        <v>46197463.508669756</v>
      </c>
      <c r="AC33" s="491">
        <f t="shared" si="45"/>
        <v>15525882.517542081</v>
      </c>
      <c r="AD33" s="489">
        <f t="shared" si="37"/>
        <v>24013262.580925971</v>
      </c>
      <c r="AE33" s="486">
        <v>0</v>
      </c>
      <c r="AF33" s="490">
        <f t="shared" si="38"/>
        <v>1583326.0268527078</v>
      </c>
      <c r="AG33" s="487"/>
      <c r="AH33" s="492">
        <f t="shared" si="39"/>
        <v>8487380.0633838903</v>
      </c>
      <c r="AI33" s="486">
        <f t="shared" si="40"/>
        <v>6267504.2865443621</v>
      </c>
      <c r="AJ33" s="487">
        <f t="shared" si="41"/>
        <v>3133752.143272181</v>
      </c>
      <c r="AK33" s="485">
        <f t="shared" si="42"/>
        <v>36796207.078853212</v>
      </c>
      <c r="AL33" s="485">
        <f t="shared" si="43"/>
        <v>35212881.052000508</v>
      </c>
      <c r="AM33" s="485">
        <f t="shared" si="44"/>
        <v>-51303652.89834103</v>
      </c>
      <c r="AN33" s="275">
        <f t="shared" si="29"/>
        <v>20705435.232512683</v>
      </c>
      <c r="AO33" s="275">
        <f t="shared" si="30"/>
        <v>-339003923.84065509</v>
      </c>
      <c r="AP33" s="242">
        <f t="shared" si="31"/>
        <v>6267504.2865443621</v>
      </c>
      <c r="AQ33" s="243">
        <f t="shared" si="32"/>
        <v>40776650.353138275</v>
      </c>
      <c r="AR33" s="266">
        <f t="shared" si="33"/>
        <v>1</v>
      </c>
      <c r="AS33" s="254">
        <f t="shared" si="28"/>
        <v>1880251.2859633085</v>
      </c>
    </row>
    <row r="34" spans="1:45" ht="15" customHeight="1" thickBot="1" x14ac:dyDescent="0.3">
      <c r="A34" s="43">
        <v>2022</v>
      </c>
      <c r="B34" s="102">
        <f t="shared" si="46"/>
        <v>137.58668591224023</v>
      </c>
      <c r="C34" s="1"/>
      <c r="D34" s="1"/>
      <c r="E34" s="43">
        <v>2027</v>
      </c>
      <c r="F34" s="36">
        <v>11.07</v>
      </c>
      <c r="G34" s="107">
        <f t="shared" si="27"/>
        <v>1.0492334190000001E-5</v>
      </c>
      <c r="H34" s="111">
        <f t="shared" si="34"/>
        <v>1.6528925619834822E-2</v>
      </c>
      <c r="I34" s="1"/>
      <c r="J34" s="34" t="s">
        <v>41</v>
      </c>
      <c r="K34" s="41">
        <f>K33/(K36^K35)</f>
        <v>997.62030530260938</v>
      </c>
      <c r="L34" s="34" t="s">
        <v>42</v>
      </c>
      <c r="M34" s="41">
        <f>M33/(M36^M35)</f>
        <v>24852.946713682559</v>
      </c>
      <c r="N34" s="34" t="s">
        <v>43</v>
      </c>
      <c r="O34" s="41">
        <f>O33/(O36^O35)</f>
        <v>4.3349831971422743</v>
      </c>
      <c r="P34" s="162"/>
      <c r="Q34" s="39" t="s">
        <v>56</v>
      </c>
      <c r="R34" s="303">
        <f>2-V7/(-V7+V8)</f>
        <v>2.7631686691964985</v>
      </c>
      <c r="S34" s="1"/>
      <c r="T34" s="1"/>
      <c r="U34" s="1"/>
      <c r="X34" s="484">
        <v>8</v>
      </c>
      <c r="Y34" s="485">
        <f t="shared" si="35"/>
        <v>64095735.652341053</v>
      </c>
      <c r="Z34" s="486">
        <f>'Análisis Finan CCGT GT Sauz'!I20</f>
        <v>16137954.865897637</v>
      </c>
      <c r="AA34" s="487">
        <f>'Análisis Finan ISCC Nuevo'!G20*'Análisis Econ CCGT GT Sauz'!$AA$25</f>
        <v>258783.43339907171</v>
      </c>
      <c r="AB34" s="491">
        <f t="shared" si="36"/>
        <v>47698997.353044339</v>
      </c>
      <c r="AC34" s="491">
        <f t="shared" si="45"/>
        <v>15889789.079544095</v>
      </c>
      <c r="AD34" s="489">
        <f t="shared" si="37"/>
        <v>24481018.147747502</v>
      </c>
      <c r="AE34" s="486">
        <v>0</v>
      </c>
      <c r="AF34" s="490">
        <f t="shared" si="38"/>
        <v>1583326.0268527078</v>
      </c>
      <c r="AG34" s="487"/>
      <c r="AH34" s="492">
        <f t="shared" si="39"/>
        <v>8591229.0682034064</v>
      </c>
      <c r="AI34" s="486">
        <f t="shared" si="40"/>
        <v>6409573.565234106</v>
      </c>
      <c r="AJ34" s="487">
        <f t="shared" si="41"/>
        <v>3204786.782617053</v>
      </c>
      <c r="AK34" s="485">
        <f t="shared" si="42"/>
        <v>38084637.005193181</v>
      </c>
      <c r="AL34" s="485">
        <f t="shared" si="43"/>
        <v>36501310.978340469</v>
      </c>
      <c r="AM34" s="485">
        <f t="shared" si="44"/>
        <v>-14802341.920000561</v>
      </c>
      <c r="AN34" s="275">
        <f t="shared" si="29"/>
        <v>59783606.06353309</v>
      </c>
      <c r="AO34" s="275">
        <f t="shared" si="30"/>
        <v>-279220317.77712202</v>
      </c>
      <c r="AP34" s="242">
        <f t="shared" si="31"/>
        <v>6409573.565234106</v>
      </c>
      <c r="AQ34" s="243">
        <f t="shared" si="32"/>
        <v>47186223.918372378</v>
      </c>
      <c r="AR34" s="266">
        <f t="shared" si="33"/>
        <v>1</v>
      </c>
      <c r="AS34" s="254">
        <f t="shared" si="28"/>
        <v>1922872.0695702317</v>
      </c>
    </row>
    <row r="35" spans="1:45" ht="15" customHeight="1" x14ac:dyDescent="0.25">
      <c r="A35" s="43">
        <v>2023</v>
      </c>
      <c r="B35" s="102">
        <f t="shared" si="46"/>
        <v>140.21926096997697</v>
      </c>
      <c r="C35" s="1"/>
      <c r="D35" s="1"/>
      <c r="E35" s="43">
        <v>2028</v>
      </c>
      <c r="F35" s="36">
        <v>11.15</v>
      </c>
      <c r="G35" s="107">
        <f t="shared" si="27"/>
        <v>1.056815955E-5</v>
      </c>
      <c r="H35" s="111">
        <f t="shared" si="34"/>
        <v>7.2267389340559124E-3</v>
      </c>
      <c r="I35" s="1"/>
      <c r="J35" s="34" t="s">
        <v>31</v>
      </c>
      <c r="K35" s="35">
        <v>0.8</v>
      </c>
      <c r="L35" s="34" t="s">
        <v>31</v>
      </c>
      <c r="M35" s="35">
        <v>0.8</v>
      </c>
      <c r="N35" s="34" t="s">
        <v>31</v>
      </c>
      <c r="O35" s="35">
        <v>0.8</v>
      </c>
      <c r="P35" s="161"/>
      <c r="Q35" s="1"/>
      <c r="R35" s="1"/>
      <c r="T35" s="1"/>
      <c r="U35" s="1"/>
      <c r="X35" s="484">
        <v>9</v>
      </c>
      <c r="Y35" s="485">
        <f t="shared" si="35"/>
        <v>64816567.392268494</v>
      </c>
      <c r="Z35" s="486">
        <f>'Análisis Finan CCGT GT Sauz'!I21</f>
        <v>16137954.865897637</v>
      </c>
      <c r="AA35" s="487">
        <f>'Análisis Finan ISCC Nuevo'!G21*'Análisis Econ CCGT GT Sauz'!$AA$25</f>
        <v>175290.78923667315</v>
      </c>
      <c r="AB35" s="491">
        <f t="shared" si="36"/>
        <v>48503321.737134181</v>
      </c>
      <c r="AC35" s="491">
        <f t="shared" si="45"/>
        <v>16133164.573416319</v>
      </c>
      <c r="AD35" s="489">
        <f t="shared" si="37"/>
        <v>24734609.123647895</v>
      </c>
      <c r="AE35" s="486">
        <v>0</v>
      </c>
      <c r="AF35" s="490">
        <f t="shared" si="38"/>
        <v>1583326.0268527078</v>
      </c>
      <c r="AG35" s="487"/>
      <c r="AH35" s="492">
        <f t="shared" si="39"/>
        <v>8601444.550231576</v>
      </c>
      <c r="AI35" s="486">
        <f t="shared" si="40"/>
        <v>6481656.7392268497</v>
      </c>
      <c r="AJ35" s="487">
        <f t="shared" si="41"/>
        <v>3240828.3696134249</v>
      </c>
      <c r="AK35" s="485">
        <f t="shared" si="42"/>
        <v>38780836.628293909</v>
      </c>
      <c r="AL35" s="485">
        <f t="shared" si="43"/>
        <v>37197510.601441205</v>
      </c>
      <c r="AM35" s="485">
        <f t="shared" si="44"/>
        <v>22395168.681440644</v>
      </c>
      <c r="AN35" s="275">
        <f t="shared" si="29"/>
        <v>98373515.911175758</v>
      </c>
      <c r="AO35" s="275">
        <f t="shared" si="30"/>
        <v>-180846801.86594626</v>
      </c>
      <c r="AP35" s="242">
        <f t="shared" si="31"/>
        <v>6481656.7392268497</v>
      </c>
      <c r="AQ35" s="243">
        <f t="shared" si="32"/>
        <v>53667880.657599226</v>
      </c>
      <c r="AR35" s="266">
        <f t="shared" si="33"/>
        <v>1</v>
      </c>
      <c r="AS35" s="254">
        <f t="shared" si="28"/>
        <v>1944497.0217680549</v>
      </c>
    </row>
    <row r="36" spans="1:45" ht="15.75" customHeight="1" thickBot="1" x14ac:dyDescent="0.3">
      <c r="A36" s="43">
        <v>2024</v>
      </c>
      <c r="B36" s="102">
        <f t="shared" si="46"/>
        <v>142.71327944572758</v>
      </c>
      <c r="C36" s="1"/>
      <c r="D36" s="1"/>
      <c r="E36" s="43">
        <v>2029</v>
      </c>
      <c r="F36" s="36">
        <v>11.32</v>
      </c>
      <c r="G36" s="107">
        <f t="shared" si="27"/>
        <v>1.072928844E-5</v>
      </c>
      <c r="H36" s="111">
        <f t="shared" si="34"/>
        <v>1.524663677130049E-2</v>
      </c>
      <c r="I36" s="1"/>
      <c r="J36" s="39" t="s">
        <v>32</v>
      </c>
      <c r="K36" s="42">
        <f>K32/K31</f>
        <v>0.63646482324116205</v>
      </c>
      <c r="L36" s="39" t="s">
        <v>36</v>
      </c>
      <c r="M36" s="42">
        <f>M32/M31</f>
        <v>0.63646482324116205</v>
      </c>
      <c r="N36" s="39" t="s">
        <v>36</v>
      </c>
      <c r="O36" s="42">
        <f>O32/O31</f>
        <v>0.63646482324116205</v>
      </c>
      <c r="P36" s="161"/>
      <c r="Q36" s="1"/>
      <c r="R36" s="1"/>
      <c r="T36" s="1"/>
      <c r="U36" s="1"/>
      <c r="X36" s="484">
        <v>10</v>
      </c>
      <c r="Y36" s="485">
        <f t="shared" si="35"/>
        <v>64852071.233365655</v>
      </c>
      <c r="Z36" s="486">
        <f>'Análisis Finan CCGT GT Sauz'!I22</f>
        <v>16137954.865897637</v>
      </c>
      <c r="AA36" s="487">
        <f>'Análisis Finan ISCC Nuevo'!G22*'Análisis Econ CCGT GT Sauz'!$AA$25</f>
        <v>89059.586345747841</v>
      </c>
      <c r="AB36" s="491">
        <f t="shared" si="36"/>
        <v>48625056.781122267</v>
      </c>
      <c r="AC36" s="491">
        <f t="shared" si="45"/>
        <v>16257381.047482342</v>
      </c>
      <c r="AD36" s="489">
        <f t="shared" si="37"/>
        <v>24777209.89416562</v>
      </c>
      <c r="AE36" s="486">
        <v>0</v>
      </c>
      <c r="AF36" s="490">
        <f t="shared" si="38"/>
        <v>1583326.0268527078</v>
      </c>
      <c r="AG36" s="487"/>
      <c r="AH36" s="492">
        <f t="shared" si="39"/>
        <v>8519828.8466832787</v>
      </c>
      <c r="AI36" s="486">
        <f t="shared" si="40"/>
        <v>6485207.1233365657</v>
      </c>
      <c r="AJ36" s="487">
        <f t="shared" si="41"/>
        <v>3242603.5616682828</v>
      </c>
      <c r="AK36" s="485">
        <f t="shared" si="42"/>
        <v>38897246.096117415</v>
      </c>
      <c r="AL36" s="485">
        <f t="shared" si="43"/>
        <v>37313920.06926471</v>
      </c>
      <c r="AM36" s="485">
        <f t="shared" si="44"/>
        <v>59709088.750705354</v>
      </c>
      <c r="AN36" s="275">
        <f t="shared" si="29"/>
        <v>135920254.91608748</v>
      </c>
      <c r="AO36" s="275">
        <f t="shared" si="30"/>
        <v>-44926546.949858785</v>
      </c>
      <c r="AP36" s="242">
        <f t="shared" si="31"/>
        <v>6485207.1233365657</v>
      </c>
      <c r="AQ36" s="243">
        <f t="shared" si="32"/>
        <v>60153087.780935794</v>
      </c>
      <c r="AR36" s="266">
        <f t="shared" si="33"/>
        <v>1</v>
      </c>
      <c r="AS36" s="254">
        <f t="shared" si="28"/>
        <v>1945562.1370009696</v>
      </c>
    </row>
    <row r="37" spans="1:45" ht="15" customHeight="1" x14ac:dyDescent="0.25">
      <c r="A37" s="43">
        <v>2025</v>
      </c>
      <c r="B37" s="102">
        <f t="shared" si="46"/>
        <v>147.008533487298</v>
      </c>
      <c r="C37" s="1"/>
      <c r="D37" s="1"/>
      <c r="E37" s="43">
        <v>2030</v>
      </c>
      <c r="F37" s="36">
        <v>11.63</v>
      </c>
      <c r="G37" s="107">
        <f t="shared" si="27"/>
        <v>1.1023111710000001E-5</v>
      </c>
      <c r="H37" s="111">
        <f t="shared" si="34"/>
        <v>2.7385159010600742E-2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 t="s">
        <v>65</v>
      </c>
      <c r="T37" s="1"/>
      <c r="U37" s="1"/>
      <c r="X37" s="484">
        <v>11</v>
      </c>
      <c r="Y37" s="485">
        <f t="shared" si="35"/>
        <v>65482824.973112538</v>
      </c>
      <c r="Z37" s="486">
        <f>'Análisis Finan CCGT GT Sauz'!I23</f>
        <v>0</v>
      </c>
      <c r="AA37" s="487">
        <f>'Análisis Finan ISCC Nuevo'!G23*'Análisis Econ CCGT GT Sauz'!$AA$25</f>
        <v>0</v>
      </c>
      <c r="AB37" s="491">
        <f t="shared" si="36"/>
        <v>65482824.973112538</v>
      </c>
      <c r="AC37" s="491">
        <f t="shared" si="45"/>
        <v>16492121.798182651</v>
      </c>
      <c r="AD37" s="489">
        <f t="shared" si="37"/>
        <v>25004889.044687282</v>
      </c>
      <c r="AE37" s="486">
        <v>0</v>
      </c>
      <c r="AF37" s="490">
        <f t="shared" si="38"/>
        <v>1583326.0268527078</v>
      </c>
      <c r="AG37" s="487"/>
      <c r="AH37" s="492">
        <f t="shared" si="39"/>
        <v>8512767.2465046309</v>
      </c>
      <c r="AI37" s="486">
        <f t="shared" si="40"/>
        <v>6548282.497311254</v>
      </c>
      <c r="AJ37" s="487">
        <f t="shared" si="41"/>
        <v>3274141.248655627</v>
      </c>
      <c r="AK37" s="485">
        <f t="shared" si="42"/>
        <v>55660401.227145657</v>
      </c>
      <c r="AL37" s="485">
        <f t="shared" si="43"/>
        <v>54077075.200292952</v>
      </c>
      <c r="AM37" s="485">
        <f t="shared" si="44"/>
        <v>113786163.95099831</v>
      </c>
      <c r="AN37" s="275">
        <f t="shared" si="29"/>
        <v>223523640.37843692</v>
      </c>
      <c r="AO37" s="275">
        <f t="shared" si="30"/>
        <v>178597093.42857814</v>
      </c>
      <c r="AP37" s="242">
        <f t="shared" si="31"/>
        <v>6548282.497311254</v>
      </c>
      <c r="AQ37" s="243">
        <f t="shared" si="32"/>
        <v>66701370.278247051</v>
      </c>
      <c r="AR37" s="266">
        <f t="shared" si="33"/>
        <v>1</v>
      </c>
      <c r="AS37" s="254">
        <f t="shared" si="28"/>
        <v>1964484.7491933762</v>
      </c>
    </row>
    <row r="38" spans="1:45" ht="15" customHeight="1" x14ac:dyDescent="0.25">
      <c r="A38" s="43">
        <v>2026</v>
      </c>
      <c r="B38" s="102">
        <f t="shared" si="46"/>
        <v>150.88811778291</v>
      </c>
      <c r="C38" s="1"/>
      <c r="D38" s="1"/>
      <c r="E38" s="43">
        <v>2031</v>
      </c>
      <c r="F38" s="36">
        <v>11.91</v>
      </c>
      <c r="G38" s="107">
        <f t="shared" si="27"/>
        <v>1.1288500470000001E-5</v>
      </c>
      <c r="H38" s="111">
        <f t="shared" si="34"/>
        <v>2.4075666380051583E-2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 t="s">
        <v>157</v>
      </c>
      <c r="T38" s="212">
        <f>(-1)*T5*U52-T41</f>
        <v>59959800.626941435</v>
      </c>
      <c r="U38" s="1"/>
      <c r="X38" s="484">
        <v>12</v>
      </c>
      <c r="Y38" s="485">
        <f t="shared" si="35"/>
        <v>67027017.820058376</v>
      </c>
      <c r="Z38" s="486">
        <f>'Análisis Finan CCGT GT Sauz'!I24</f>
        <v>0</v>
      </c>
      <c r="AA38" s="487">
        <f>'Análisis Finan ISCC Nuevo'!G24*'Análisis Econ CCGT GT Sauz'!$AA$25</f>
        <v>0</v>
      </c>
      <c r="AB38" s="491">
        <f t="shared" si="36"/>
        <v>67027017.820058376</v>
      </c>
      <c r="AC38" s="491">
        <f t="shared" si="45"/>
        <v>16804236.31778381</v>
      </c>
      <c r="AD38" s="489">
        <f t="shared" si="37"/>
        <v>25517748.634391397</v>
      </c>
      <c r="AE38" s="486">
        <v>0</v>
      </c>
      <c r="AF38" s="490">
        <f t="shared" si="38"/>
        <v>1583326.0268527078</v>
      </c>
      <c r="AG38" s="487"/>
      <c r="AH38" s="492">
        <f t="shared" si="39"/>
        <v>8713512.316607587</v>
      </c>
      <c r="AI38" s="486">
        <f t="shared" si="40"/>
        <v>6702701.7820058381</v>
      </c>
      <c r="AJ38" s="487">
        <f t="shared" si="41"/>
        <v>3351350.8910029191</v>
      </c>
      <c r="AK38" s="485">
        <f t="shared" si="42"/>
        <v>56972965.147049621</v>
      </c>
      <c r="AL38" s="485">
        <f t="shared" si="43"/>
        <v>55389639.120196916</v>
      </c>
      <c r="AM38" s="485">
        <f t="shared" si="44"/>
        <v>169175803.07119521</v>
      </c>
      <c r="AN38" s="275">
        <f t="shared" si="29"/>
        <v>281538407.33844173</v>
      </c>
      <c r="AO38" s="275">
        <f t="shared" si="30"/>
        <v>460135500.76701987</v>
      </c>
      <c r="AP38" s="242">
        <f t="shared" si="31"/>
        <v>6702701.7820058381</v>
      </c>
      <c r="AQ38" s="243">
        <f t="shared" si="32"/>
        <v>73404072.06025289</v>
      </c>
      <c r="AR38" s="266">
        <f t="shared" si="33"/>
        <v>1</v>
      </c>
      <c r="AS38" s="254">
        <f t="shared" si="28"/>
        <v>2010810.5346017512</v>
      </c>
    </row>
    <row r="39" spans="1:45" x14ac:dyDescent="0.25">
      <c r="A39" s="43">
        <v>2027</v>
      </c>
      <c r="B39" s="102">
        <f t="shared" si="46"/>
        <v>153.38213625866061</v>
      </c>
      <c r="C39" s="1"/>
      <c r="D39" s="1"/>
      <c r="E39" s="43">
        <v>2032</v>
      </c>
      <c r="F39" s="36">
        <v>12.24</v>
      </c>
      <c r="G39" s="107">
        <f t="shared" si="27"/>
        <v>1.1601280080000001E-5</v>
      </c>
      <c r="H39" s="111">
        <f t="shared" si="34"/>
        <v>2.7707808564231749E-2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259" t="s">
        <v>66</v>
      </c>
      <c r="T39" s="540">
        <f>R28-T40-T41</f>
        <v>303804048.09023201</v>
      </c>
      <c r="U39" s="212"/>
      <c r="V39" s="158">
        <f>U30-T40</f>
        <v>22227222.076102585</v>
      </c>
      <c r="X39" s="484">
        <v>13</v>
      </c>
      <c r="Y39" s="485">
        <f t="shared" si="35"/>
        <v>68348146.522508487</v>
      </c>
      <c r="Z39" s="486">
        <f>'Análisis Finan CCGT GT Sauz'!I25</f>
        <v>0</v>
      </c>
      <c r="AA39" s="487">
        <f>'Análisis Finan ISCC Nuevo'!G25*'Análisis Econ CCGT GT Sauz'!$AA$25</f>
        <v>0</v>
      </c>
      <c r="AB39" s="491">
        <f t="shared" si="36"/>
        <v>68348146.522508487</v>
      </c>
      <c r="AC39" s="491">
        <f t="shared" si="45"/>
        <v>17078173.398554042</v>
      </c>
      <c r="AD39" s="489">
        <f t="shared" si="37"/>
        <v>25963432.446480144</v>
      </c>
      <c r="AE39" s="486">
        <v>0</v>
      </c>
      <c r="AF39" s="490">
        <f t="shared" si="38"/>
        <v>1583326.0268527078</v>
      </c>
      <c r="AG39" s="487"/>
      <c r="AH39" s="492">
        <f t="shared" si="39"/>
        <v>8885259.0479261018</v>
      </c>
      <c r="AI39" s="486">
        <f t="shared" si="40"/>
        <v>6834814.6522508487</v>
      </c>
      <c r="AJ39" s="487">
        <f t="shared" si="41"/>
        <v>3417407.3261254244</v>
      </c>
      <c r="AK39" s="485">
        <f t="shared" si="42"/>
        <v>58095924.544132218</v>
      </c>
      <c r="AL39" s="485">
        <f t="shared" si="43"/>
        <v>56512598.517279506</v>
      </c>
      <c r="AM39" s="485">
        <f t="shared" si="44"/>
        <v>225688401.58847472</v>
      </c>
      <c r="AN39" s="275">
        <f t="shared" si="29"/>
        <v>340296924.64988643</v>
      </c>
      <c r="AO39" s="275">
        <f t="shared" si="30"/>
        <v>800432425.41690636</v>
      </c>
      <c r="AP39" s="242">
        <f t="shared" si="31"/>
        <v>6834814.6522508487</v>
      </c>
      <c r="AQ39" s="243">
        <f t="shared" si="32"/>
        <v>80238886.712503731</v>
      </c>
      <c r="AR39" s="266">
        <f t="shared" si="33"/>
        <v>1</v>
      </c>
      <c r="AS39" s="254">
        <f t="shared" si="28"/>
        <v>2050444.3956752545</v>
      </c>
    </row>
    <row r="40" spans="1:45" x14ac:dyDescent="0.25">
      <c r="A40" s="43">
        <v>2028</v>
      </c>
      <c r="B40" s="102">
        <f t="shared" si="46"/>
        <v>154.49058891454973</v>
      </c>
      <c r="C40" s="1"/>
      <c r="D40" s="1"/>
      <c r="E40" s="43">
        <v>2033</v>
      </c>
      <c r="F40" s="36">
        <v>12.26</v>
      </c>
      <c r="G40" s="107">
        <f t="shared" si="27"/>
        <v>1.1620236420000001E-5</v>
      </c>
      <c r="H40" s="111">
        <f t="shared" si="34"/>
        <v>1.6339869281045537E-3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 t="s">
        <v>67</v>
      </c>
      <c r="T40" s="212">
        <f>(1-U52)*T5*(-1)</f>
        <v>128565732.86225054</v>
      </c>
      <c r="U40" s="212"/>
      <c r="X40" s="484">
        <v>14</v>
      </c>
      <c r="Y40" s="485">
        <f t="shared" si="35"/>
        <v>69972550.478013143</v>
      </c>
      <c r="Z40" s="486">
        <f>'Análisis Finan CCGT GT Sauz'!I26</f>
        <v>0</v>
      </c>
      <c r="AA40" s="487">
        <f>'Análisis Finan ISCC Nuevo'!G26*'Análisis Econ CCGT GT Sauz'!$AA$25</f>
        <v>0</v>
      </c>
      <c r="AB40" s="491">
        <f t="shared" si="36"/>
        <v>69972550.478013143</v>
      </c>
      <c r="AC40" s="491">
        <f t="shared" si="45"/>
        <v>17409448.163248349</v>
      </c>
      <c r="AD40" s="489">
        <f t="shared" si="37"/>
        <v>26505879.725390058</v>
      </c>
      <c r="AE40" s="486">
        <v>0</v>
      </c>
      <c r="AF40" s="490">
        <f t="shared" si="38"/>
        <v>1583326.0268527078</v>
      </c>
      <c r="AG40" s="487"/>
      <c r="AH40" s="492">
        <f t="shared" si="39"/>
        <v>9096431.562141709</v>
      </c>
      <c r="AI40" s="486">
        <f t="shared" si="40"/>
        <v>6997255.0478013149</v>
      </c>
      <c r="AJ40" s="487">
        <f t="shared" si="41"/>
        <v>3498627.5239006574</v>
      </c>
      <c r="AK40" s="485">
        <f t="shared" si="42"/>
        <v>59476667.906311169</v>
      </c>
      <c r="AL40" s="485">
        <f t="shared" si="43"/>
        <v>57893341.879458457</v>
      </c>
      <c r="AM40" s="485">
        <f t="shared" si="44"/>
        <v>283581743.46793318</v>
      </c>
      <c r="AN40" s="275">
        <f t="shared" si="29"/>
        <v>400951753.25370282</v>
      </c>
      <c r="AO40" s="275">
        <f t="shared" si="30"/>
        <v>1201384178.6706092</v>
      </c>
      <c r="AP40" s="242">
        <f t="shared" si="31"/>
        <v>6997255.0478013149</v>
      </c>
      <c r="AQ40" s="243">
        <f t="shared" si="32"/>
        <v>87236141.760305047</v>
      </c>
      <c r="AR40" s="266">
        <f t="shared" si="33"/>
        <v>1</v>
      </c>
      <c r="AS40" s="254">
        <f t="shared" si="28"/>
        <v>2099176.5143403942</v>
      </c>
    </row>
    <row r="41" spans="1:45" x14ac:dyDescent="0.25">
      <c r="A41" s="43">
        <v>2029</v>
      </c>
      <c r="B41" s="102">
        <f t="shared" si="46"/>
        <v>156.84605080831417</v>
      </c>
      <c r="C41" s="1"/>
      <c r="D41" s="1"/>
      <c r="E41" s="43">
        <v>2034</v>
      </c>
      <c r="F41" s="36">
        <v>12.48</v>
      </c>
      <c r="G41" s="107">
        <f t="shared" si="27"/>
        <v>1.182875616E-5</v>
      </c>
      <c r="H41" s="111">
        <f t="shared" si="34"/>
        <v>1.7944535073409373E-2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 t="s">
        <v>120</v>
      </c>
      <c r="T41" s="228">
        <f>2*270860.36</f>
        <v>541720.72</v>
      </c>
      <c r="U41" s="212"/>
      <c r="X41" s="484">
        <v>15</v>
      </c>
      <c r="Y41" s="485">
        <f t="shared" si="35"/>
        <v>69561594.379298165</v>
      </c>
      <c r="Z41" s="486">
        <f>'Análisis Finan CCGT GT Sauz'!I27</f>
        <v>0</v>
      </c>
      <c r="AA41" s="487">
        <f>'Análisis Finan ISCC Nuevo'!G27*'Análisis Econ CCGT GT Sauz'!$AA$25</f>
        <v>0</v>
      </c>
      <c r="AB41" s="491">
        <f t="shared" si="36"/>
        <v>69561594.379298165</v>
      </c>
      <c r="AC41" s="491">
        <f t="shared" si="45"/>
        <v>17370882.640420195</v>
      </c>
      <c r="AD41" s="489">
        <f t="shared" si="37"/>
        <v>26413889.909728959</v>
      </c>
      <c r="AE41" s="486">
        <v>0</v>
      </c>
      <c r="AF41" s="490">
        <f t="shared" si="38"/>
        <v>1583326.0268527078</v>
      </c>
      <c r="AG41" s="487"/>
      <c r="AH41" s="492">
        <f t="shared" si="39"/>
        <v>9043007.2693087645</v>
      </c>
      <c r="AI41" s="486">
        <f t="shared" si="40"/>
        <v>6956159.4379298165</v>
      </c>
      <c r="AJ41" s="487">
        <f t="shared" si="41"/>
        <v>3478079.7189649083</v>
      </c>
      <c r="AK41" s="485">
        <f t="shared" si="42"/>
        <v>59127355.222403437</v>
      </c>
      <c r="AL41" s="485">
        <f t="shared" si="43"/>
        <v>57544029.195550725</v>
      </c>
      <c r="AM41" s="485">
        <f t="shared" si="44"/>
        <v>341125772.66348392</v>
      </c>
      <c r="AN41" s="275">
        <f t="shared" si="29"/>
        <v>457797157.08143806</v>
      </c>
      <c r="AO41" s="275">
        <f t="shared" si="30"/>
        <v>1659181335.7520473</v>
      </c>
      <c r="AP41" s="242">
        <f t="shared" si="31"/>
        <v>6956159.4379298165</v>
      </c>
      <c r="AQ41" s="243">
        <f t="shared" si="32"/>
        <v>94192301.198234856</v>
      </c>
      <c r="AR41" s="266">
        <f t="shared" si="33"/>
        <v>1</v>
      </c>
      <c r="AS41" s="254">
        <f t="shared" si="28"/>
        <v>2086847.8313789449</v>
      </c>
    </row>
    <row r="42" spans="1:45" ht="15.75" thickBot="1" x14ac:dyDescent="0.3">
      <c r="A42" s="43">
        <v>2030</v>
      </c>
      <c r="B42" s="102">
        <f t="shared" si="46"/>
        <v>161.14130484988462</v>
      </c>
      <c r="C42" s="1"/>
      <c r="D42" s="1"/>
      <c r="E42" s="44">
        <v>2035</v>
      </c>
      <c r="F42" s="45">
        <v>12.56</v>
      </c>
      <c r="G42" s="108">
        <f t="shared" si="27"/>
        <v>1.190458152E-5</v>
      </c>
      <c r="H42" s="112">
        <f t="shared" si="34"/>
        <v>6.4102564102564699E-3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X42" s="484">
        <v>16</v>
      </c>
      <c r="Y42" s="485">
        <f t="shared" si="35"/>
        <v>70438396.154031217</v>
      </c>
      <c r="Z42" s="486">
        <f>'Análisis Finan CCGT GT Sauz'!I28</f>
        <v>0</v>
      </c>
      <c r="AA42" s="487">
        <f>'Análisis Finan ISCC Nuevo'!G28*'Análisis Econ CCGT GT Sauz'!$AA$25</f>
        <v>0</v>
      </c>
      <c r="AB42" s="491">
        <f t="shared" si="36"/>
        <v>70438396.154031217</v>
      </c>
      <c r="AC42" s="491">
        <f t="shared" si="45"/>
        <v>17568534.695717532</v>
      </c>
      <c r="AD42" s="489">
        <f t="shared" si="37"/>
        <v>26725526.19574159</v>
      </c>
      <c r="AE42" s="486">
        <v>0</v>
      </c>
      <c r="AF42" s="490">
        <f t="shared" si="38"/>
        <v>1583326.0268527078</v>
      </c>
      <c r="AG42" s="487"/>
      <c r="AH42" s="492">
        <f t="shared" si="39"/>
        <v>9156991.5000240579</v>
      </c>
      <c r="AI42" s="486">
        <f t="shared" si="40"/>
        <v>7043839.6154031223</v>
      </c>
      <c r="AJ42" s="487">
        <f t="shared" si="41"/>
        <v>3521919.8077015611</v>
      </c>
      <c r="AK42" s="485">
        <f t="shared" si="42"/>
        <v>59872636.730926536</v>
      </c>
      <c r="AL42" s="485">
        <f t="shared" si="43"/>
        <v>58289310.704073824</v>
      </c>
      <c r="AM42" s="485">
        <f t="shared" si="44"/>
        <v>399415083.36755776</v>
      </c>
      <c r="AN42" s="275">
        <f t="shared" si="29"/>
        <v>517577030.80255812</v>
      </c>
      <c r="AO42" s="275">
        <f t="shared" si="30"/>
        <v>2176758366.5546055</v>
      </c>
      <c r="AP42" s="242">
        <f t="shared" si="31"/>
        <v>7043839.6154031223</v>
      </c>
      <c r="AQ42" s="243">
        <f t="shared" si="32"/>
        <v>101236140.81363797</v>
      </c>
      <c r="AR42" s="266">
        <f t="shared" si="33"/>
        <v>1</v>
      </c>
      <c r="AS42" s="254">
        <f t="shared" si="28"/>
        <v>2113151.8846209366</v>
      </c>
    </row>
    <row r="43" spans="1:45" x14ac:dyDescent="0.25">
      <c r="A43" s="43">
        <v>2031</v>
      </c>
      <c r="B43" s="102">
        <f t="shared" si="46"/>
        <v>165.02088914549665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16" t="s">
        <v>121</v>
      </c>
      <c r="T43" s="217"/>
      <c r="U43" s="224" t="s">
        <v>122</v>
      </c>
      <c r="V43" s="224" t="s">
        <v>143</v>
      </c>
      <c r="X43" s="493">
        <v>17</v>
      </c>
      <c r="Y43" s="494">
        <f t="shared" si="35"/>
        <v>70404343.293058619</v>
      </c>
      <c r="Z43" s="495">
        <f>'Análisis Finan CCGT GT Sauz'!I29</f>
        <v>0</v>
      </c>
      <c r="AA43" s="496">
        <f>'Análisis Finan ISCC Nuevo'!G29*'Análisis Econ CCGT GT Sauz'!$AA$25</f>
        <v>0</v>
      </c>
      <c r="AB43" s="497">
        <f t="shared" si="36"/>
        <v>70404343.293058619</v>
      </c>
      <c r="AC43" s="497">
        <f t="shared" si="45"/>
        <v>17599874.73916835</v>
      </c>
      <c r="AD43" s="498">
        <f t="shared" si="37"/>
        <v>26752439.367265966</v>
      </c>
      <c r="AE43" s="495">
        <v>0</v>
      </c>
      <c r="AF43" s="499">
        <f t="shared" si="38"/>
        <v>1583326.0268527078</v>
      </c>
      <c r="AG43" s="496"/>
      <c r="AH43" s="500">
        <f t="shared" si="39"/>
        <v>9152564.6280976161</v>
      </c>
      <c r="AI43" s="495">
        <f t="shared" si="40"/>
        <v>7040434.3293058621</v>
      </c>
      <c r="AJ43" s="496">
        <f t="shared" si="41"/>
        <v>3520217.164652931</v>
      </c>
      <c r="AK43" s="494">
        <f t="shared" si="42"/>
        <v>59843691.799099825</v>
      </c>
      <c r="AL43" s="494">
        <f t="shared" si="43"/>
        <v>58260365.772247113</v>
      </c>
      <c r="AM43" s="485">
        <f t="shared" si="44"/>
        <v>457675449.1398049</v>
      </c>
      <c r="AN43" s="276">
        <f t="shared" si="29"/>
        <v>575779506.71115184</v>
      </c>
      <c r="AO43" s="276">
        <f t="shared" si="30"/>
        <v>2752537873.2657576</v>
      </c>
      <c r="AP43" s="256">
        <f t="shared" si="31"/>
        <v>7040434.3293058621</v>
      </c>
      <c r="AQ43" s="257">
        <f t="shared" si="32"/>
        <v>108276575.14294383</v>
      </c>
      <c r="AR43" s="267">
        <f t="shared" si="33"/>
        <v>1</v>
      </c>
      <c r="AS43" s="264">
        <f t="shared" si="28"/>
        <v>2112130.2987917587</v>
      </c>
    </row>
    <row r="44" spans="1:45" x14ac:dyDescent="0.25">
      <c r="A44" s="43">
        <v>2032</v>
      </c>
      <c r="B44" s="102">
        <f t="shared" si="46"/>
        <v>169.59325635103937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20" t="s">
        <v>123</v>
      </c>
      <c r="T44" s="121"/>
      <c r="U44" s="218">
        <v>0.18</v>
      </c>
      <c r="V44" s="219">
        <f>-$U$5*U44</f>
        <v>27142731.888903562</v>
      </c>
    </row>
    <row r="45" spans="1:45" x14ac:dyDescent="0.25">
      <c r="A45" s="43">
        <v>2033</v>
      </c>
      <c r="B45" s="102">
        <f t="shared" si="46"/>
        <v>169.87036951501165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20" t="s">
        <v>124</v>
      </c>
      <c r="T45" s="121"/>
      <c r="U45" s="218">
        <v>0.03</v>
      </c>
      <c r="V45" s="219">
        <f t="shared" ref="V45:V52" si="47">-$U$5*U45</f>
        <v>4523788.648150593</v>
      </c>
      <c r="AK45" t="s">
        <v>249</v>
      </c>
      <c r="AL45" s="213">
        <v>0.12</v>
      </c>
      <c r="AN45" s="158">
        <f>AM26</f>
        <v>-150792954.93835312</v>
      </c>
    </row>
    <row r="46" spans="1:45" x14ac:dyDescent="0.25">
      <c r="A46" s="43">
        <v>2034</v>
      </c>
      <c r="B46" s="102">
        <f t="shared" si="46"/>
        <v>172.91861431870677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20" t="s">
        <v>131</v>
      </c>
      <c r="T46" s="121"/>
      <c r="U46" s="218">
        <v>0.09</v>
      </c>
      <c r="V46" s="219">
        <f t="shared" si="47"/>
        <v>13571365.944451781</v>
      </c>
      <c r="AK46" t="s">
        <v>250</v>
      </c>
      <c r="AL46">
        <v>17</v>
      </c>
      <c r="AN46" s="158">
        <f>AL27</f>
        <v>1628972.7073409613</v>
      </c>
    </row>
    <row r="47" spans="1:45" ht="15.75" thickBot="1" x14ac:dyDescent="0.3">
      <c r="A47" s="44">
        <v>2035</v>
      </c>
      <c r="B47" s="105">
        <f t="shared" si="46"/>
        <v>174.02706697459593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20" t="s">
        <v>125</v>
      </c>
      <c r="T47" s="121"/>
      <c r="U47" s="218">
        <v>0.08</v>
      </c>
      <c r="V47" s="219">
        <f t="shared" si="47"/>
        <v>12063436.395068251</v>
      </c>
      <c r="AK47" t="s">
        <v>96</v>
      </c>
      <c r="AL47" s="95">
        <f>NPV(T26,AL28:AL43)</f>
        <v>606839431.37081707</v>
      </c>
      <c r="AN47" s="158">
        <f t="shared" ref="AN47:AN62" si="48">AL28</f>
        <v>4610182.7007360132</v>
      </c>
    </row>
    <row r="48" spans="1:45" x14ac:dyDescent="0.25">
      <c r="S48" s="120" t="s">
        <v>126</v>
      </c>
      <c r="T48" s="121"/>
      <c r="U48" s="218">
        <v>0.1</v>
      </c>
      <c r="V48" s="219">
        <f t="shared" si="47"/>
        <v>15079295.493835313</v>
      </c>
      <c r="AK48" t="s">
        <v>190</v>
      </c>
      <c r="AL48" s="95">
        <f>AL47+AM26</f>
        <v>456046476.43246394</v>
      </c>
      <c r="AN48" s="158">
        <f t="shared" si="48"/>
        <v>6770794.7628360465</v>
      </c>
    </row>
    <row r="49" spans="18:40" x14ac:dyDescent="0.25">
      <c r="S49" s="120" t="s">
        <v>127</v>
      </c>
      <c r="T49" s="121"/>
      <c r="U49" s="218">
        <v>0.09</v>
      </c>
      <c r="V49" s="219">
        <f t="shared" si="47"/>
        <v>13571365.944451781</v>
      </c>
      <c r="AK49" t="s">
        <v>51</v>
      </c>
      <c r="AL49" s="95">
        <f>-PMT(AL45,AL46,AL48)</f>
        <v>64054795.670867004</v>
      </c>
      <c r="AN49" s="158">
        <f t="shared" si="48"/>
        <v>8365747.4430901576</v>
      </c>
    </row>
    <row r="50" spans="18:40" x14ac:dyDescent="0.25">
      <c r="S50" s="120" t="s">
        <v>128</v>
      </c>
      <c r="T50" s="121"/>
      <c r="U50" s="218">
        <v>0.03</v>
      </c>
      <c r="V50" s="219">
        <f t="shared" si="47"/>
        <v>4523788.648150593</v>
      </c>
      <c r="AK50" t="s">
        <v>52</v>
      </c>
      <c r="AL50" s="293">
        <f>AL47/-AM26</f>
        <v>4.0243221682266519</v>
      </c>
      <c r="AN50" s="158">
        <f t="shared" si="48"/>
        <v>9170288.5778105333</v>
      </c>
    </row>
    <row r="51" spans="18:40" x14ac:dyDescent="0.25">
      <c r="S51" s="120" t="s">
        <v>130</v>
      </c>
      <c r="T51" s="121"/>
      <c r="U51" s="218">
        <v>0.08</v>
      </c>
      <c r="V51" s="219">
        <f t="shared" si="47"/>
        <v>12063436.395068251</v>
      </c>
      <c r="AK51" t="s">
        <v>53</v>
      </c>
      <c r="AL51" s="522">
        <f>IRR(AN45:AN62)</f>
        <v>0.1380829048994594</v>
      </c>
      <c r="AN51" s="158">
        <f t="shared" si="48"/>
        <v>33730434.796197876</v>
      </c>
    </row>
    <row r="52" spans="18:40" x14ac:dyDescent="0.25">
      <c r="S52" s="120" t="s">
        <v>129</v>
      </c>
      <c r="T52" s="121"/>
      <c r="U52" s="218">
        <v>0.32</v>
      </c>
      <c r="V52" s="219">
        <f t="shared" si="47"/>
        <v>48253745.580273002</v>
      </c>
      <c r="AK52" t="s">
        <v>191</v>
      </c>
      <c r="AL52" s="213">
        <f>MIRR(AN45:AN62,AL51,AL45)</f>
        <v>0.13050308361640184</v>
      </c>
      <c r="AN52" s="158">
        <f t="shared" si="48"/>
        <v>35212881.052000508</v>
      </c>
    </row>
    <row r="53" spans="18:40" x14ac:dyDescent="0.25">
      <c r="S53" s="220"/>
      <c r="T53" s="221" t="s">
        <v>132</v>
      </c>
      <c r="U53" s="222">
        <f>SUM(U44:U52)</f>
        <v>1</v>
      </c>
      <c r="V53" s="223">
        <f>SUM(V44:V52)</f>
        <v>150792954.93835312</v>
      </c>
      <c r="AK53" t="s">
        <v>192</v>
      </c>
      <c r="AL53" s="293">
        <f>11-AM37/(-AM37+AM38)</f>
        <v>8.945713932093339</v>
      </c>
      <c r="AN53" s="158">
        <f t="shared" si="48"/>
        <v>36501310.978340469</v>
      </c>
    </row>
    <row r="54" spans="18:40" x14ac:dyDescent="0.25">
      <c r="AN54" s="158">
        <f t="shared" si="48"/>
        <v>37197510.601441205</v>
      </c>
    </row>
    <row r="55" spans="18:40" x14ac:dyDescent="0.25">
      <c r="AN55" s="158">
        <f t="shared" si="48"/>
        <v>37313920.06926471</v>
      </c>
    </row>
    <row r="56" spans="18:40" x14ac:dyDescent="0.25">
      <c r="R56" s="214"/>
      <c r="S56" s="233" t="s">
        <v>143</v>
      </c>
      <c r="T56" s="236" t="s">
        <v>142</v>
      </c>
      <c r="U56" s="217" t="s">
        <v>238</v>
      </c>
      <c r="V56" s="233" t="s">
        <v>146</v>
      </c>
      <c r="AN56" s="158">
        <f t="shared" si="48"/>
        <v>54077075.200292952</v>
      </c>
    </row>
    <row r="57" spans="18:40" x14ac:dyDescent="0.25">
      <c r="R57" s="231" t="s">
        <v>140</v>
      </c>
      <c r="S57" s="234">
        <f>SUM(V46:V52)</f>
        <v>119126434.40129897</v>
      </c>
      <c r="T57" s="237">
        <f>1/V57</f>
        <v>0.2</v>
      </c>
      <c r="U57" s="229">
        <f>S57*T57</f>
        <v>23825286.880259797</v>
      </c>
      <c r="V57" s="239">
        <v>5</v>
      </c>
      <c r="AN57" s="158">
        <f t="shared" si="48"/>
        <v>55389639.120196916</v>
      </c>
    </row>
    <row r="58" spans="18:40" x14ac:dyDescent="0.25">
      <c r="R58" s="232" t="s">
        <v>141</v>
      </c>
      <c r="S58" s="235">
        <f>SUM(V44:V45)</f>
        <v>31666520.537054155</v>
      </c>
      <c r="T58" s="238">
        <f>1/V58</f>
        <v>0.05</v>
      </c>
      <c r="U58" s="230">
        <f>S58*T58</f>
        <v>1583326.0268527078</v>
      </c>
      <c r="V58" s="215">
        <v>20</v>
      </c>
      <c r="AN58" s="158">
        <f t="shared" si="48"/>
        <v>56512598.517279506</v>
      </c>
    </row>
    <row r="59" spans="18:40" x14ac:dyDescent="0.25">
      <c r="AN59" s="158">
        <f t="shared" si="48"/>
        <v>57893341.879458457</v>
      </c>
    </row>
    <row r="60" spans="18:40" x14ac:dyDescent="0.25">
      <c r="R60" s="260" t="s">
        <v>151</v>
      </c>
      <c r="S60" s="261">
        <v>0.3</v>
      </c>
      <c r="AN60" s="158">
        <f t="shared" si="48"/>
        <v>57544029.195550725</v>
      </c>
    </row>
    <row r="61" spans="18:40" x14ac:dyDescent="0.25">
      <c r="AN61" s="158">
        <f>AL42</f>
        <v>58289310.704073824</v>
      </c>
    </row>
    <row r="62" spans="18:40" x14ac:dyDescent="0.25">
      <c r="AN62" s="158">
        <f t="shared" si="48"/>
        <v>58260365.772247113</v>
      </c>
    </row>
    <row r="63" spans="18:40" x14ac:dyDescent="0.25">
      <c r="S63" s="728" t="s">
        <v>306</v>
      </c>
      <c r="T63" s="729"/>
      <c r="U63" s="224" t="s">
        <v>122</v>
      </c>
      <c r="V63" s="224" t="s">
        <v>143</v>
      </c>
      <c r="AN63" s="158"/>
    </row>
    <row r="64" spans="18:40" x14ac:dyDescent="0.25">
      <c r="S64" s="730" t="s">
        <v>123</v>
      </c>
      <c r="T64" s="731"/>
      <c r="U64" s="218">
        <v>0.18</v>
      </c>
      <c r="V64" s="219">
        <f>-$T$5*U64</f>
        <v>34032105.757654555</v>
      </c>
    </row>
    <row r="65" spans="19:22" x14ac:dyDescent="0.25">
      <c r="S65" s="724" t="s">
        <v>124</v>
      </c>
      <c r="T65" s="725"/>
      <c r="U65" s="218">
        <v>0.03</v>
      </c>
      <c r="V65" s="219">
        <f t="shared" ref="V65:V71" si="49">-$T$5*U65</f>
        <v>5672017.6262757592</v>
      </c>
    </row>
    <row r="66" spans="19:22" x14ac:dyDescent="0.25">
      <c r="S66" s="724" t="s">
        <v>131</v>
      </c>
      <c r="T66" s="725"/>
      <c r="U66" s="218">
        <v>0.09</v>
      </c>
      <c r="V66" s="219">
        <f t="shared" si="49"/>
        <v>17016052.878827278</v>
      </c>
    </row>
    <row r="67" spans="19:22" x14ac:dyDescent="0.25">
      <c r="S67" s="724" t="s">
        <v>125</v>
      </c>
      <c r="T67" s="725"/>
      <c r="U67" s="218">
        <v>0.08</v>
      </c>
      <c r="V67" s="219">
        <f t="shared" si="49"/>
        <v>15125380.336735358</v>
      </c>
    </row>
    <row r="68" spans="19:22" x14ac:dyDescent="0.25">
      <c r="S68" s="724" t="s">
        <v>126</v>
      </c>
      <c r="T68" s="725"/>
      <c r="U68" s="218">
        <v>0.1</v>
      </c>
      <c r="V68" s="219">
        <f t="shared" si="49"/>
        <v>18906725.420919199</v>
      </c>
    </row>
    <row r="69" spans="19:22" x14ac:dyDescent="0.25">
      <c r="S69" s="724" t="s">
        <v>309</v>
      </c>
      <c r="T69" s="725"/>
      <c r="U69" s="218">
        <v>0.09</v>
      </c>
      <c r="V69" s="219">
        <f t="shared" si="49"/>
        <v>17016052.878827278</v>
      </c>
    </row>
    <row r="70" spans="19:22" x14ac:dyDescent="0.25">
      <c r="S70" s="724" t="s">
        <v>128</v>
      </c>
      <c r="T70" s="725"/>
      <c r="U70" s="218">
        <v>0.03</v>
      </c>
      <c r="V70" s="219">
        <f t="shared" si="49"/>
        <v>5672017.6262757592</v>
      </c>
    </row>
    <row r="71" spans="19:22" x14ac:dyDescent="0.25">
      <c r="S71" s="724" t="s">
        <v>130</v>
      </c>
      <c r="T71" s="725"/>
      <c r="U71" s="218">
        <v>0.08</v>
      </c>
      <c r="V71" s="219">
        <f t="shared" si="49"/>
        <v>15125380.336735358</v>
      </c>
    </row>
    <row r="72" spans="19:22" x14ac:dyDescent="0.25">
      <c r="S72" s="726" t="s">
        <v>129</v>
      </c>
      <c r="T72" s="727"/>
      <c r="U72" s="721" t="s">
        <v>47</v>
      </c>
      <c r="V72" s="219">
        <f>V39</f>
        <v>22227222.076102585</v>
      </c>
    </row>
    <row r="73" spans="19:22" x14ac:dyDescent="0.25">
      <c r="S73" s="722" t="s">
        <v>132</v>
      </c>
      <c r="T73" s="874"/>
      <c r="U73" s="723"/>
      <c r="V73" s="223">
        <f>SUM(V64:V72)</f>
        <v>150792954.93835312</v>
      </c>
    </row>
  </sheetData>
  <mergeCells count="52">
    <mergeCell ref="B18:D18"/>
    <mergeCell ref="J30:K30"/>
    <mergeCell ref="L30:M30"/>
    <mergeCell ref="N30:O30"/>
    <mergeCell ref="C2:D2"/>
    <mergeCell ref="J3:J4"/>
    <mergeCell ref="K3:K4"/>
    <mergeCell ref="L3:L4"/>
    <mergeCell ref="M3:M4"/>
    <mergeCell ref="E24:H24"/>
    <mergeCell ref="B15:D15"/>
    <mergeCell ref="B16:D16"/>
    <mergeCell ref="N3:N4"/>
    <mergeCell ref="O3:V3"/>
    <mergeCell ref="B14:D14"/>
    <mergeCell ref="J24:K24"/>
    <mergeCell ref="B17:D17"/>
    <mergeCell ref="AJ2:AJ3"/>
    <mergeCell ref="X2:X3"/>
    <mergeCell ref="AK2:AK3"/>
    <mergeCell ref="AE2:AE3"/>
    <mergeCell ref="AF2:AF3"/>
    <mergeCell ref="AG2:AG3"/>
    <mergeCell ref="AH2:AH3"/>
    <mergeCell ref="AI2:AI3"/>
    <mergeCell ref="Y2:Y3"/>
    <mergeCell ref="Z2:Z3"/>
    <mergeCell ref="AA2:AA3"/>
    <mergeCell ref="AB2:AC2"/>
    <mergeCell ref="AD2:AD3"/>
    <mergeCell ref="AM24:AM25"/>
    <mergeCell ref="X24:X25"/>
    <mergeCell ref="Y24:Y25"/>
    <mergeCell ref="Z24:Z25"/>
    <mergeCell ref="AB24:AB25"/>
    <mergeCell ref="AH24:AH25"/>
    <mergeCell ref="Q25:R25"/>
    <mergeCell ref="AI24:AI25"/>
    <mergeCell ref="AJ24:AJ25"/>
    <mergeCell ref="AK24:AK25"/>
    <mergeCell ref="AL24:AL25"/>
    <mergeCell ref="S63:T63"/>
    <mergeCell ref="S73:U73"/>
    <mergeCell ref="S64:T64"/>
    <mergeCell ref="S65:T65"/>
    <mergeCell ref="S66:T66"/>
    <mergeCell ref="S67:T67"/>
    <mergeCell ref="S68:T68"/>
    <mergeCell ref="S69:T69"/>
    <mergeCell ref="S70:T70"/>
    <mergeCell ref="S71:T71"/>
    <mergeCell ref="S72:T72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5"/>
  <sheetViews>
    <sheetView topLeftCell="F73" zoomScale="80" zoomScaleNormal="80" workbookViewId="0">
      <selection activeCell="S4" sqref="S4:S12"/>
    </sheetView>
  </sheetViews>
  <sheetFormatPr baseColWidth="10" defaultRowHeight="15" x14ac:dyDescent="0.25"/>
  <cols>
    <col min="2" max="2" width="9.28515625" customWidth="1"/>
    <col min="3" max="3" width="14.28515625" hidden="1" customWidth="1"/>
    <col min="4" max="4" width="19.140625" hidden="1" customWidth="1"/>
    <col min="5" max="5" width="19.28515625" hidden="1" customWidth="1"/>
    <col min="6" max="6" width="14.28515625" customWidth="1"/>
    <col min="7" max="7" width="15" customWidth="1"/>
    <col min="8" max="8" width="13.140625" customWidth="1"/>
    <col min="9" max="9" width="15.7109375" customWidth="1"/>
    <col min="10" max="10" width="14.140625" customWidth="1"/>
    <col min="11" max="11" width="17.28515625" customWidth="1"/>
    <col min="12" max="12" width="16.85546875" customWidth="1"/>
    <col min="13" max="13" width="15" customWidth="1"/>
    <col min="15" max="15" width="19.140625" customWidth="1"/>
    <col min="16" max="16" width="15.85546875" customWidth="1"/>
    <col min="17" max="17" width="18.42578125" customWidth="1"/>
    <col min="18" max="18" width="20.140625" customWidth="1"/>
    <col min="19" max="19" width="20.85546875" customWidth="1"/>
  </cols>
  <sheetData>
    <row r="1" spans="2:19" ht="15.75" thickBot="1" x14ac:dyDescent="0.3">
      <c r="C1" t="s">
        <v>239</v>
      </c>
      <c r="E1" s="155">
        <v>2.3400000000000001E-2</v>
      </c>
    </row>
    <row r="2" spans="2:19" x14ac:dyDescent="0.25">
      <c r="B2" s="791" t="s">
        <v>240</v>
      </c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3"/>
    </row>
    <row r="3" spans="2:19" ht="15" customHeight="1" x14ac:dyDescent="0.25">
      <c r="B3" s="794" t="s">
        <v>77</v>
      </c>
      <c r="C3" s="782" t="s">
        <v>78</v>
      </c>
      <c r="D3" s="871" t="s">
        <v>79</v>
      </c>
      <c r="E3" s="872">
        <v>0.12</v>
      </c>
      <c r="F3" s="798" t="s">
        <v>80</v>
      </c>
      <c r="G3" s="606"/>
      <c r="H3" s="610"/>
      <c r="I3" s="610"/>
      <c r="J3" s="611"/>
      <c r="K3" s="800">
        <f>(1-H5)*D12</f>
        <v>-15079295.49383531</v>
      </c>
      <c r="L3" s="606" t="s">
        <v>242</v>
      </c>
      <c r="M3" s="607">
        <v>94</v>
      </c>
      <c r="P3" s="511" t="s">
        <v>245</v>
      </c>
      <c r="Q3" s="511" t="s">
        <v>246</v>
      </c>
      <c r="R3" s="511" t="s">
        <v>247</v>
      </c>
      <c r="S3" s="515" t="s">
        <v>248</v>
      </c>
    </row>
    <row r="4" spans="2:19" x14ac:dyDescent="0.25">
      <c r="B4" s="795"/>
      <c r="C4" s="783"/>
      <c r="D4" s="803"/>
      <c r="E4" s="873"/>
      <c r="F4" s="799"/>
      <c r="G4" s="612" t="s">
        <v>81</v>
      </c>
      <c r="H4" s="613"/>
      <c r="I4" s="613"/>
      <c r="J4" s="614">
        <f>$M$4+M3/10000</f>
        <v>3.2800000000000003E-2</v>
      </c>
      <c r="K4" s="801"/>
      <c r="L4" s="608" t="s">
        <v>243</v>
      </c>
      <c r="M4" s="609">
        <v>2.3400000000000001E-2</v>
      </c>
      <c r="O4" s="260" t="s">
        <v>48</v>
      </c>
      <c r="P4" s="516">
        <v>0.12</v>
      </c>
      <c r="Q4" s="516">
        <v>0.12</v>
      </c>
      <c r="R4" s="516">
        <v>0.12</v>
      </c>
      <c r="S4" s="516">
        <v>0.12</v>
      </c>
    </row>
    <row r="5" spans="2:19" ht="15" customHeight="1" x14ac:dyDescent="0.25">
      <c r="B5" s="795"/>
      <c r="C5" s="783"/>
      <c r="D5" s="622"/>
      <c r="E5" s="825" t="s">
        <v>82</v>
      </c>
      <c r="F5" s="615">
        <v>0.02</v>
      </c>
      <c r="G5" s="612" t="s">
        <v>83</v>
      </c>
      <c r="H5" s="616">
        <v>0.9</v>
      </c>
      <c r="I5" s="600">
        <f>H5*D12</f>
        <v>-135713659.44451782</v>
      </c>
      <c r="J5" s="601"/>
      <c r="K5" s="802"/>
      <c r="L5" s="869" t="s">
        <v>251</v>
      </c>
      <c r="M5" s="827" t="s">
        <v>226</v>
      </c>
      <c r="O5" s="260" t="s">
        <v>22</v>
      </c>
      <c r="P5" s="511">
        <v>17</v>
      </c>
      <c r="Q5" s="511">
        <v>17</v>
      </c>
      <c r="R5" s="511">
        <v>17</v>
      </c>
      <c r="S5" s="511">
        <v>17</v>
      </c>
    </row>
    <row r="6" spans="2:19" x14ac:dyDescent="0.25">
      <c r="B6" s="637" t="s">
        <v>85</v>
      </c>
      <c r="C6" s="784"/>
      <c r="D6" s="632"/>
      <c r="E6" s="826"/>
      <c r="F6" s="617" t="s">
        <v>86</v>
      </c>
      <c r="G6" s="618" t="s">
        <v>87</v>
      </c>
      <c r="H6" s="619" t="s">
        <v>88</v>
      </c>
      <c r="I6" s="619" t="s">
        <v>89</v>
      </c>
      <c r="J6" s="620" t="s">
        <v>90</v>
      </c>
      <c r="K6" s="803"/>
      <c r="L6" s="870"/>
      <c r="M6" s="828"/>
      <c r="O6" s="514" t="s">
        <v>244</v>
      </c>
      <c r="P6" s="517">
        <f>C30</f>
        <v>432911501.67248261</v>
      </c>
      <c r="Q6" s="517">
        <f>M30</f>
        <v>341728457.45773256</v>
      </c>
      <c r="R6" s="517">
        <f>M62</f>
        <v>337008129.82455486</v>
      </c>
      <c r="S6" s="517">
        <f>M94</f>
        <v>319457187.25151902</v>
      </c>
    </row>
    <row r="7" spans="2:19" x14ac:dyDescent="0.25">
      <c r="B7" s="640"/>
      <c r="C7" s="622"/>
      <c r="D7" s="622"/>
      <c r="E7" s="651"/>
      <c r="F7" s="621"/>
      <c r="G7" s="610"/>
      <c r="H7" s="610"/>
      <c r="I7" s="610"/>
      <c r="J7" s="611"/>
      <c r="K7" s="622"/>
      <c r="L7" s="606"/>
      <c r="M7" s="607"/>
      <c r="O7" s="260" t="s">
        <v>94</v>
      </c>
      <c r="P7" s="517">
        <f>C31</f>
        <v>282118546.73412949</v>
      </c>
      <c r="Q7" s="517">
        <f>M31</f>
        <v>321899183.88333911</v>
      </c>
      <c r="R7" s="517">
        <f>M63</f>
        <v>317178856.25016141</v>
      </c>
      <c r="S7" s="517">
        <f>M95</f>
        <v>299627913.67712557</v>
      </c>
    </row>
    <row r="8" spans="2:19" x14ac:dyDescent="0.25">
      <c r="B8" s="637"/>
      <c r="C8" s="625"/>
      <c r="D8" s="625"/>
      <c r="E8" s="652"/>
      <c r="F8" s="623">
        <f>I5*F5*-1</f>
        <v>2714273.1888903566</v>
      </c>
      <c r="G8" s="613"/>
      <c r="H8" s="613" t="s">
        <v>91</v>
      </c>
      <c r="I8" s="613"/>
      <c r="J8" s="624"/>
      <c r="K8" s="625"/>
      <c r="L8" s="612"/>
      <c r="M8" s="653"/>
      <c r="O8" s="260" t="s">
        <v>51</v>
      </c>
      <c r="P8" s="518">
        <f>-PMT(P4,P5,P7)</f>
        <v>39625447.843346626</v>
      </c>
      <c r="Q8" s="518">
        <f>-PMT(Q4,Q5,Q7)</f>
        <v>45212905.955473661</v>
      </c>
      <c r="R8" s="518">
        <f>-PMT(R4,R5,R7)</f>
        <v>44549904.183355995</v>
      </c>
      <c r="S8" s="518">
        <f>-PMT(S4,S5,S7)</f>
        <v>42084756.224881597</v>
      </c>
    </row>
    <row r="9" spans="2:19" x14ac:dyDescent="0.25">
      <c r="B9" s="637"/>
      <c r="C9" s="625"/>
      <c r="D9" s="625"/>
      <c r="E9" s="652"/>
      <c r="F9" s="623">
        <f>I5*G9*-1</f>
        <v>1357136.5944451783</v>
      </c>
      <c r="G9" s="626">
        <v>0.01</v>
      </c>
      <c r="H9" s="613" t="s">
        <v>92</v>
      </c>
      <c r="I9" s="613"/>
      <c r="J9" s="624"/>
      <c r="K9" s="625"/>
      <c r="L9" s="612"/>
      <c r="M9" s="653"/>
      <c r="O9" s="260" t="s">
        <v>52</v>
      </c>
      <c r="P9" s="519">
        <f>P6/-D12</f>
        <v>2.8709000486757796</v>
      </c>
      <c r="Q9" s="519">
        <f>Q6/-K12</f>
        <v>17.233533854665467</v>
      </c>
      <c r="R9" s="519">
        <f>R6/-K44</f>
        <v>16.995485415045707</v>
      </c>
      <c r="S9" s="519">
        <f>S6/-K76</f>
        <v>16.110382765814006</v>
      </c>
    </row>
    <row r="10" spans="2:19" x14ac:dyDescent="0.25">
      <c r="B10" s="637"/>
      <c r="C10" s="625"/>
      <c r="D10" s="625"/>
      <c r="E10" s="652"/>
      <c r="F10" s="627">
        <f>I5*G10*-1</f>
        <v>678568.29722258914</v>
      </c>
      <c r="G10" s="628">
        <v>5.0000000000000001E-3</v>
      </c>
      <c r="H10" s="613" t="s">
        <v>93</v>
      </c>
      <c r="I10" s="613"/>
      <c r="J10" s="624"/>
      <c r="K10" s="625"/>
      <c r="L10" s="612"/>
      <c r="M10" s="653"/>
      <c r="O10" s="260" t="s">
        <v>53</v>
      </c>
      <c r="P10" s="520">
        <f>'Análisis Econ ISCC Nuevo'!U34</f>
        <v>0.37186416543416079</v>
      </c>
      <c r="Q10" s="520">
        <f>IRR(M12:M29)</f>
        <v>1.8737229740820083</v>
      </c>
      <c r="R10" s="520">
        <f>IRR(M44:M61)</f>
        <v>1.9767954515953714</v>
      </c>
      <c r="S10" s="520">
        <f>IRR(M76:M93)</f>
        <v>1.6827407371900973</v>
      </c>
    </row>
    <row r="11" spans="2:19" x14ac:dyDescent="0.25">
      <c r="B11" s="617"/>
      <c r="C11" s="625"/>
      <c r="D11" s="625"/>
      <c r="E11" s="652"/>
      <c r="F11" s="629"/>
      <c r="G11" s="630"/>
      <c r="H11" s="630"/>
      <c r="I11" s="630"/>
      <c r="J11" s="631"/>
      <c r="K11" s="632"/>
      <c r="L11" s="608"/>
      <c r="M11" s="654"/>
      <c r="O11" s="260" t="s">
        <v>54</v>
      </c>
      <c r="P11" s="516">
        <f>'Análisis Econ ISCC Nuevo'!U35</f>
        <v>0.188828846465811</v>
      </c>
      <c r="Q11" s="520">
        <f>MIRR(M12:M29,Q10,Q4)</f>
        <v>0.32417664903084908</v>
      </c>
      <c r="R11" s="520">
        <f>MIRR(M44:M61,R10,R4)</f>
        <v>0.32309365209743368</v>
      </c>
      <c r="S11" s="520">
        <f>MIRR(M76:M93,S10,S4)</f>
        <v>0.31893760138173888</v>
      </c>
    </row>
    <row r="12" spans="2:19" ht="15.75" customHeight="1" x14ac:dyDescent="0.25">
      <c r="B12" s="635">
        <v>2018</v>
      </c>
      <c r="C12" s="599"/>
      <c r="D12" s="655">
        <f>'Análisis Econ CCGT GT Sauz'!U5</f>
        <v>-150792954.93835312</v>
      </c>
      <c r="E12" s="656">
        <f>D12</f>
        <v>-150792954.93835312</v>
      </c>
      <c r="F12" s="657">
        <f>E12</f>
        <v>-150792954.93835312</v>
      </c>
      <c r="G12" s="596"/>
      <c r="H12" s="596"/>
      <c r="I12" s="596"/>
      <c r="J12" s="658">
        <f>I5*-1</f>
        <v>135713659.44451782</v>
      </c>
      <c r="K12" s="659">
        <f>K3-(F8+F9+F10)</f>
        <v>-19829273.574393433</v>
      </c>
      <c r="L12" s="659">
        <f>K12</f>
        <v>-19829273.574393433</v>
      </c>
      <c r="M12" s="660">
        <f>K12</f>
        <v>-19829273.574393433</v>
      </c>
      <c r="O12" s="260" t="s">
        <v>56</v>
      </c>
      <c r="P12" s="519">
        <f>2-E14/(-E14+E15)</f>
        <v>2.7631686691964985</v>
      </c>
      <c r="Q12" s="519">
        <f>-L12/(-L12+L13)</f>
        <v>0.55752164162100926</v>
      </c>
      <c r="R12" s="519">
        <f>-L44/(-L44+L45)</f>
        <v>0.52022055727724448</v>
      </c>
      <c r="S12" s="519">
        <f>-L76/(-L76+L77)</f>
        <v>0.62700941291229018</v>
      </c>
    </row>
    <row r="13" spans="2:19" ht="15.75" customHeight="1" x14ac:dyDescent="0.25">
      <c r="B13" s="179">
        <v>2019</v>
      </c>
      <c r="C13" s="142">
        <f>'Análisis Econ CCGT GT Sauz'!U6</f>
        <v>51704777.916459918</v>
      </c>
      <c r="D13" s="134"/>
      <c r="E13" s="180">
        <f>E12+C13</f>
        <v>-99088177.021893203</v>
      </c>
      <c r="F13" s="199">
        <f>C13</f>
        <v>51704777.916459918</v>
      </c>
      <c r="G13" s="143">
        <f>J12*$J$4</f>
        <v>4451408.0297801849</v>
      </c>
      <c r="H13" s="144">
        <f>I13-G13</f>
        <v>11686546.836117452</v>
      </c>
      <c r="I13" s="144">
        <f>PMT(J4,10,-J12,,0)</f>
        <v>16137954.865897637</v>
      </c>
      <c r="J13" s="145">
        <f>J12-H13</f>
        <v>124027112.60840037</v>
      </c>
      <c r="K13" s="134"/>
      <c r="L13" s="146">
        <f>M13+K12</f>
        <v>15737549.476168845</v>
      </c>
      <c r="M13" s="181">
        <f>F13-I13</f>
        <v>35566823.050562277</v>
      </c>
    </row>
    <row r="14" spans="2:19" x14ac:dyDescent="0.25">
      <c r="B14" s="635">
        <v>2020</v>
      </c>
      <c r="C14" s="661">
        <f>'Análisis Econ CCGT GT Sauz'!U7</f>
        <v>55133719.955486447</v>
      </c>
      <c r="D14" s="599"/>
      <c r="E14" s="656">
        <f t="shared" ref="E14:E29" si="0">E13+C14</f>
        <v>-43954457.066406757</v>
      </c>
      <c r="F14" s="662">
        <f t="shared" ref="F14:F29" si="1">C14</f>
        <v>55133719.955486447</v>
      </c>
      <c r="G14" s="663">
        <f t="shared" ref="G14:G22" si="2">J13*$J$4</f>
        <v>4068089.2935555326</v>
      </c>
      <c r="H14" s="664">
        <f>I14-G14</f>
        <v>12069865.572342105</v>
      </c>
      <c r="I14" s="664">
        <f>I13</f>
        <v>16137954.865897637</v>
      </c>
      <c r="J14" s="665">
        <f t="shared" ref="J14:J22" si="3">J13-H14</f>
        <v>111957247.03605828</v>
      </c>
      <c r="K14" s="599"/>
      <c r="L14" s="666">
        <f>M14+L13</f>
        <v>54733314.565757647</v>
      </c>
      <c r="M14" s="667">
        <f t="shared" ref="M14:M29" si="4">F14-I14</f>
        <v>38995765.089588806</v>
      </c>
      <c r="P14" s="524" t="s">
        <v>246</v>
      </c>
      <c r="Q14" s="524" t="s">
        <v>247</v>
      </c>
      <c r="R14" s="524" t="s">
        <v>248</v>
      </c>
    </row>
    <row r="15" spans="2:19" x14ac:dyDescent="0.25">
      <c r="B15" s="179">
        <v>2021</v>
      </c>
      <c r="C15" s="142">
        <f>'Análisis Econ CCGT GT Sauz'!U8</f>
        <v>57594682.329771429</v>
      </c>
      <c r="D15" s="134"/>
      <c r="E15" s="180">
        <f t="shared" si="0"/>
        <v>13640225.263364673</v>
      </c>
      <c r="F15" s="199">
        <f t="shared" si="1"/>
        <v>57594682.329771429</v>
      </c>
      <c r="G15" s="143">
        <f t="shared" si="2"/>
        <v>3672197.7027827119</v>
      </c>
      <c r="H15" s="144">
        <f t="shared" ref="H15:H22" si="5">I15-G15</f>
        <v>12465757.163114924</v>
      </c>
      <c r="I15" s="144">
        <f t="shared" ref="I15:I22" si="6">I14</f>
        <v>16137954.865897637</v>
      </c>
      <c r="J15" s="145">
        <f t="shared" si="3"/>
        <v>99491489.872943357</v>
      </c>
      <c r="K15" s="134"/>
      <c r="L15" s="146">
        <f t="shared" ref="L15:L29" si="7">M15+L14</f>
        <v>96190042.029631436</v>
      </c>
      <c r="M15" s="181">
        <f t="shared" si="4"/>
        <v>41456727.463873789</v>
      </c>
      <c r="O15" s="260" t="s">
        <v>48</v>
      </c>
      <c r="P15" s="523">
        <v>0.12</v>
      </c>
      <c r="Q15" s="528">
        <v>0.12</v>
      </c>
      <c r="R15" s="528">
        <v>0.12</v>
      </c>
    </row>
    <row r="16" spans="2:19" x14ac:dyDescent="0.25">
      <c r="B16" s="635">
        <v>2022</v>
      </c>
      <c r="C16" s="661">
        <f>'Análisis Econ CCGT GT Sauz'!U9</f>
        <v>59387508.43760024</v>
      </c>
      <c r="D16" s="599"/>
      <c r="E16" s="667">
        <f t="shared" si="0"/>
        <v>73027733.700964913</v>
      </c>
      <c r="F16" s="662">
        <f t="shared" si="1"/>
        <v>59387508.43760024</v>
      </c>
      <c r="G16" s="663">
        <f t="shared" si="2"/>
        <v>3263320.8678325424</v>
      </c>
      <c r="H16" s="664">
        <f t="shared" si="5"/>
        <v>12874633.998065095</v>
      </c>
      <c r="I16" s="664">
        <f t="shared" si="6"/>
        <v>16137954.865897637</v>
      </c>
      <c r="J16" s="665">
        <f t="shared" si="3"/>
        <v>86616855.874878258</v>
      </c>
      <c r="K16" s="599"/>
      <c r="L16" s="666">
        <f t="shared" si="7"/>
        <v>139439595.60133404</v>
      </c>
      <c r="M16" s="667">
        <f t="shared" si="4"/>
        <v>43249553.5717026</v>
      </c>
      <c r="O16" s="260" t="s">
        <v>22</v>
      </c>
      <c r="P16" s="524">
        <v>17</v>
      </c>
      <c r="Q16" s="524">
        <v>17</v>
      </c>
      <c r="R16" s="524">
        <v>17</v>
      </c>
    </row>
    <row r="17" spans="2:18" x14ac:dyDescent="0.25">
      <c r="B17" s="179">
        <v>2023</v>
      </c>
      <c r="C17" s="142">
        <f>'Análisis Econ CCGT GT Sauz'!U10</f>
        <v>60247696.896535173</v>
      </c>
      <c r="D17" s="134"/>
      <c r="E17" s="181">
        <f t="shared" si="0"/>
        <v>133275430.59750009</v>
      </c>
      <c r="F17" s="199">
        <f t="shared" si="1"/>
        <v>60247696.896535173</v>
      </c>
      <c r="G17" s="143">
        <f t="shared" si="2"/>
        <v>2841032.8726960071</v>
      </c>
      <c r="H17" s="144">
        <f t="shared" si="5"/>
        <v>13296921.99320163</v>
      </c>
      <c r="I17" s="144">
        <f t="shared" si="6"/>
        <v>16137954.865897637</v>
      </c>
      <c r="J17" s="145">
        <f t="shared" si="3"/>
        <v>73319933.881676629</v>
      </c>
      <c r="K17" s="134"/>
      <c r="L17" s="146">
        <f t="shared" si="7"/>
        <v>183549337.63197157</v>
      </c>
      <c r="M17" s="181">
        <f t="shared" si="4"/>
        <v>44109742.030637532</v>
      </c>
      <c r="O17" s="514" t="s">
        <v>244</v>
      </c>
      <c r="P17" s="525">
        <f>'Análisis Econ CCGT GT Sauz'!AL47</f>
        <v>606839431.37081707</v>
      </c>
      <c r="Q17" s="529">
        <v>534149210.19975096</v>
      </c>
      <c r="R17" s="529">
        <v>505028155.86536914</v>
      </c>
    </row>
    <row r="18" spans="2:18" x14ac:dyDescent="0.25">
      <c r="B18" s="635">
        <v>2024</v>
      </c>
      <c r="C18" s="661">
        <f>'Análisis Econ CCGT GT Sauz'!U11</f>
        <v>61023075.13008593</v>
      </c>
      <c r="D18" s="599"/>
      <c r="E18" s="667">
        <f t="shared" si="0"/>
        <v>194298505.72758603</v>
      </c>
      <c r="F18" s="662">
        <f t="shared" si="1"/>
        <v>61023075.13008593</v>
      </c>
      <c r="G18" s="663">
        <f t="shared" si="2"/>
        <v>2404893.8313189936</v>
      </c>
      <c r="H18" s="664">
        <f t="shared" si="5"/>
        <v>13733061.034578644</v>
      </c>
      <c r="I18" s="664">
        <f t="shared" si="6"/>
        <v>16137954.865897637</v>
      </c>
      <c r="J18" s="665">
        <f t="shared" si="3"/>
        <v>59586872.847097985</v>
      </c>
      <c r="K18" s="599"/>
      <c r="L18" s="666">
        <f t="shared" si="7"/>
        <v>228434457.89615986</v>
      </c>
      <c r="M18" s="667">
        <f t="shared" si="4"/>
        <v>44885120.26418829</v>
      </c>
      <c r="O18" s="260" t="s">
        <v>94</v>
      </c>
      <c r="P18" s="525">
        <f>'Análisis Econ CCGT GT Sauz'!AL48</f>
        <v>456046476.43246394</v>
      </c>
      <c r="Q18" s="529">
        <v>345081955.99055898</v>
      </c>
      <c r="R18" s="529">
        <v>315960901.65617716</v>
      </c>
    </row>
    <row r="19" spans="2:18" x14ac:dyDescent="0.25">
      <c r="B19" s="179">
        <v>2025</v>
      </c>
      <c r="C19" s="142">
        <f>'Análisis Econ CCGT GT Sauz'!U12</f>
        <v>62675042.865443617</v>
      </c>
      <c r="D19" s="134"/>
      <c r="E19" s="181">
        <f t="shared" si="0"/>
        <v>256973548.59302965</v>
      </c>
      <c r="F19" s="199">
        <f t="shared" si="1"/>
        <v>62675042.865443617</v>
      </c>
      <c r="G19" s="143">
        <f t="shared" si="2"/>
        <v>1954449.4293848141</v>
      </c>
      <c r="H19" s="144">
        <f t="shared" si="5"/>
        <v>14183505.436512822</v>
      </c>
      <c r="I19" s="144">
        <f t="shared" si="6"/>
        <v>16137954.865897637</v>
      </c>
      <c r="J19" s="145">
        <f t="shared" si="3"/>
        <v>45403367.410585165</v>
      </c>
      <c r="K19" s="134"/>
      <c r="L19" s="146">
        <f t="shared" si="7"/>
        <v>274971545.89570582</v>
      </c>
      <c r="M19" s="181">
        <f t="shared" si="4"/>
        <v>46537087.999545977</v>
      </c>
      <c r="O19" s="260" t="s">
        <v>51</v>
      </c>
      <c r="P19" s="525">
        <f>'Análisis Econ CCGT GT Sauz'!AL49</f>
        <v>64054795.670867004</v>
      </c>
      <c r="Q19" s="529">
        <v>48469082.260197625</v>
      </c>
      <c r="R19" s="529">
        <v>44378834.26683268</v>
      </c>
    </row>
    <row r="20" spans="2:18" x14ac:dyDescent="0.25">
      <c r="B20" s="635">
        <v>2026</v>
      </c>
      <c r="C20" s="661">
        <f>'Análisis Econ CCGT GT Sauz'!U13</f>
        <v>64095735.652341053</v>
      </c>
      <c r="D20" s="599"/>
      <c r="E20" s="667">
        <f t="shared" si="0"/>
        <v>321069284.24537069</v>
      </c>
      <c r="F20" s="662">
        <f t="shared" si="1"/>
        <v>64095735.652341053</v>
      </c>
      <c r="G20" s="663">
        <f t="shared" si="2"/>
        <v>1489230.4510671936</v>
      </c>
      <c r="H20" s="664">
        <f t="shared" si="5"/>
        <v>14648724.414830443</v>
      </c>
      <c r="I20" s="664">
        <f t="shared" si="6"/>
        <v>16137954.865897637</v>
      </c>
      <c r="J20" s="665">
        <f t="shared" si="3"/>
        <v>30754642.995754723</v>
      </c>
      <c r="K20" s="599"/>
      <c r="L20" s="666">
        <f t="shared" si="7"/>
        <v>322929326.68214923</v>
      </c>
      <c r="M20" s="667">
        <f t="shared" si="4"/>
        <v>47957780.786443412</v>
      </c>
      <c r="O20" s="260" t="s">
        <v>52</v>
      </c>
      <c r="P20" s="537">
        <f>'Análisis Econ CCGT GT Sauz'!AL50</f>
        <v>4.0243221682266519</v>
      </c>
      <c r="Q20" s="527">
        <v>2.8251809782393398</v>
      </c>
      <c r="R20" s="527">
        <v>2.6711561342430281</v>
      </c>
    </row>
    <row r="21" spans="2:18" x14ac:dyDescent="0.25">
      <c r="B21" s="179">
        <v>2027</v>
      </c>
      <c r="C21" s="142">
        <f>'Análisis Econ CCGT GT Sauz'!U14</f>
        <v>64816567.392268494</v>
      </c>
      <c r="D21" s="134"/>
      <c r="E21" s="181">
        <f t="shared" si="0"/>
        <v>385885851.63763916</v>
      </c>
      <c r="F21" s="199">
        <f t="shared" si="1"/>
        <v>64816567.392268494</v>
      </c>
      <c r="G21" s="143">
        <f t="shared" si="2"/>
        <v>1008752.290260755</v>
      </c>
      <c r="H21" s="144">
        <f t="shared" si="5"/>
        <v>15129202.575636882</v>
      </c>
      <c r="I21" s="144">
        <f t="shared" si="6"/>
        <v>16137954.865897637</v>
      </c>
      <c r="J21" s="145">
        <f t="shared" si="3"/>
        <v>15625440.42011784</v>
      </c>
      <c r="K21" s="134"/>
      <c r="L21" s="146">
        <f t="shared" si="7"/>
        <v>371607939.20852005</v>
      </c>
      <c r="M21" s="181">
        <f t="shared" si="4"/>
        <v>48678612.526370853</v>
      </c>
      <c r="O21" s="260" t="s">
        <v>53</v>
      </c>
      <c r="P21" s="526">
        <f>'Análisis Econ CCGT GT Sauz'!AL51</f>
        <v>0.1380829048994594</v>
      </c>
      <c r="Q21" s="526">
        <v>8.4008000921442116E-2</v>
      </c>
      <c r="R21" s="528">
        <v>7.4413055105230441E-2</v>
      </c>
    </row>
    <row r="22" spans="2:18" x14ac:dyDescent="0.25">
      <c r="B22" s="635">
        <v>2028</v>
      </c>
      <c r="C22" s="661">
        <f>'Análisis Econ CCGT GT Sauz'!U15</f>
        <v>64852071.233365655</v>
      </c>
      <c r="D22" s="599"/>
      <c r="E22" s="667">
        <f t="shared" si="0"/>
        <v>450737922.87100482</v>
      </c>
      <c r="F22" s="662">
        <f t="shared" si="1"/>
        <v>64852071.233365655</v>
      </c>
      <c r="G22" s="663">
        <f t="shared" si="2"/>
        <v>512514.4457798652</v>
      </c>
      <c r="H22" s="664">
        <f t="shared" si="5"/>
        <v>15625440.420117771</v>
      </c>
      <c r="I22" s="664">
        <f t="shared" si="6"/>
        <v>16137954.865897637</v>
      </c>
      <c r="J22" s="669">
        <f t="shared" si="3"/>
        <v>6.891787052154541E-8</v>
      </c>
      <c r="K22" s="599"/>
      <c r="L22" s="666">
        <f t="shared" si="7"/>
        <v>420322055.57598805</v>
      </c>
      <c r="M22" s="667">
        <f t="shared" si="4"/>
        <v>48714116.367468014</v>
      </c>
      <c r="O22" s="260" t="s">
        <v>54</v>
      </c>
      <c r="P22" s="526">
        <f>'Análisis Econ CCGT GT Sauz'!AL52</f>
        <v>0.13050308361640184</v>
      </c>
      <c r="Q22" s="526">
        <v>9.5960009504376664E-2</v>
      </c>
      <c r="R22" s="528">
        <v>8.8957762462940515E-2</v>
      </c>
    </row>
    <row r="23" spans="2:18" x14ac:dyDescent="0.25">
      <c r="B23" s="179">
        <v>2029</v>
      </c>
      <c r="C23" s="142">
        <f>'Análisis Econ CCGT GT Sauz'!U16</f>
        <v>65482824.973112538</v>
      </c>
      <c r="D23" s="134"/>
      <c r="E23" s="181">
        <f t="shared" si="0"/>
        <v>516220747.84411734</v>
      </c>
      <c r="F23" s="199">
        <f t="shared" si="1"/>
        <v>65482824.973112538</v>
      </c>
      <c r="G23" s="143"/>
      <c r="H23" s="147">
        <f>SUM(H13:H22)</f>
        <v>135713659.44451779</v>
      </c>
      <c r="I23" s="144"/>
      <c r="J23" s="150"/>
      <c r="K23" s="134"/>
      <c r="L23" s="146">
        <f t="shared" si="7"/>
        <v>485804880.54910058</v>
      </c>
      <c r="M23" s="181">
        <f t="shared" si="4"/>
        <v>65482824.973112538</v>
      </c>
      <c r="O23" s="260" t="s">
        <v>56</v>
      </c>
      <c r="P23" s="538">
        <f>'Análisis Econ CCGT GT Sauz'!AL53</f>
        <v>8.945713932093339</v>
      </c>
      <c r="Q23" s="527">
        <v>11.107129777236359</v>
      </c>
      <c r="R23" s="527">
        <v>11.695564869694556</v>
      </c>
    </row>
    <row r="24" spans="2:18" x14ac:dyDescent="0.25">
      <c r="B24" s="635">
        <v>2030</v>
      </c>
      <c r="C24" s="661">
        <f>'Análisis Econ CCGT GT Sauz'!U17</f>
        <v>67027017.820058376</v>
      </c>
      <c r="D24" s="599"/>
      <c r="E24" s="667">
        <f t="shared" si="0"/>
        <v>583247765.66417575</v>
      </c>
      <c r="F24" s="662">
        <f t="shared" si="1"/>
        <v>67027017.820058376</v>
      </c>
      <c r="G24" s="663"/>
      <c r="H24" s="664"/>
      <c r="I24" s="597"/>
      <c r="J24" s="665"/>
      <c r="K24" s="599"/>
      <c r="L24" s="666">
        <f t="shared" si="7"/>
        <v>552831898.36915898</v>
      </c>
      <c r="M24" s="667">
        <f t="shared" si="4"/>
        <v>67027017.820058376</v>
      </c>
    </row>
    <row r="25" spans="2:18" x14ac:dyDescent="0.25">
      <c r="B25" s="179">
        <v>2031</v>
      </c>
      <c r="C25" s="142">
        <f>'Análisis Econ CCGT GT Sauz'!U18</f>
        <v>68348146.522508487</v>
      </c>
      <c r="D25" s="134"/>
      <c r="E25" s="181">
        <f t="shared" si="0"/>
        <v>651595912.18668425</v>
      </c>
      <c r="F25" s="199">
        <f t="shared" si="1"/>
        <v>68348146.522508487</v>
      </c>
      <c r="G25" s="143"/>
      <c r="H25" s="144"/>
      <c r="I25" s="122"/>
      <c r="J25" s="145"/>
      <c r="K25" s="134"/>
      <c r="L25" s="146">
        <f t="shared" si="7"/>
        <v>621180044.89166749</v>
      </c>
      <c r="M25" s="181">
        <f t="shared" si="4"/>
        <v>68348146.522508487</v>
      </c>
    </row>
    <row r="26" spans="2:18" x14ac:dyDescent="0.25">
      <c r="B26" s="635">
        <v>2032</v>
      </c>
      <c r="C26" s="661">
        <f>'Análisis Econ CCGT GT Sauz'!U19</f>
        <v>69972550.478013143</v>
      </c>
      <c r="D26" s="599"/>
      <c r="E26" s="667">
        <f t="shared" si="0"/>
        <v>721568462.66469741</v>
      </c>
      <c r="F26" s="662">
        <f t="shared" si="1"/>
        <v>69972550.478013143</v>
      </c>
      <c r="G26" s="663"/>
      <c r="H26" s="664"/>
      <c r="I26" s="597"/>
      <c r="J26" s="665"/>
      <c r="K26" s="599"/>
      <c r="L26" s="666">
        <f t="shared" si="7"/>
        <v>691152595.36968064</v>
      </c>
      <c r="M26" s="667">
        <f t="shared" si="4"/>
        <v>69972550.478013143</v>
      </c>
    </row>
    <row r="27" spans="2:18" x14ac:dyDescent="0.25">
      <c r="B27" s="179">
        <v>2033</v>
      </c>
      <c r="C27" s="142">
        <f>'Análisis Econ CCGT GT Sauz'!U20</f>
        <v>69561594.379298165</v>
      </c>
      <c r="D27" s="134"/>
      <c r="E27" s="181">
        <f t="shared" si="0"/>
        <v>791130057.04399562</v>
      </c>
      <c r="F27" s="199">
        <f t="shared" si="1"/>
        <v>69561594.379298165</v>
      </c>
      <c r="G27" s="143"/>
      <c r="H27" s="144"/>
      <c r="I27" s="122"/>
      <c r="J27" s="145"/>
      <c r="K27" s="134"/>
      <c r="L27" s="146">
        <f t="shared" si="7"/>
        <v>760714189.74897885</v>
      </c>
      <c r="M27" s="181">
        <f t="shared" si="4"/>
        <v>69561594.379298165</v>
      </c>
    </row>
    <row r="28" spans="2:18" x14ac:dyDescent="0.25">
      <c r="B28" s="635">
        <v>2034</v>
      </c>
      <c r="C28" s="661">
        <f>'Análisis Econ CCGT GT Sauz'!U21</f>
        <v>70438396.154031217</v>
      </c>
      <c r="D28" s="599"/>
      <c r="E28" s="667">
        <f t="shared" si="0"/>
        <v>861568453.1980269</v>
      </c>
      <c r="F28" s="662">
        <f t="shared" si="1"/>
        <v>70438396.154031217</v>
      </c>
      <c r="G28" s="597"/>
      <c r="H28" s="597"/>
      <c r="I28" s="597"/>
      <c r="J28" s="598"/>
      <c r="K28" s="599"/>
      <c r="L28" s="666">
        <f t="shared" si="7"/>
        <v>831152585.90301013</v>
      </c>
      <c r="M28" s="667">
        <f t="shared" si="4"/>
        <v>70438396.154031217</v>
      </c>
    </row>
    <row r="29" spans="2:18" x14ac:dyDescent="0.25">
      <c r="B29" s="182">
        <v>2035</v>
      </c>
      <c r="C29" s="148">
        <f>'Análisis Econ CCGT GT Sauz'!U22</f>
        <v>70404343.293058619</v>
      </c>
      <c r="D29" s="130"/>
      <c r="E29" s="183">
        <f t="shared" si="0"/>
        <v>931972796.49108553</v>
      </c>
      <c r="F29" s="200">
        <f t="shared" si="1"/>
        <v>70404343.293058619</v>
      </c>
      <c r="G29" s="138"/>
      <c r="H29" s="138"/>
      <c r="I29" s="138"/>
      <c r="J29" s="125"/>
      <c r="K29" s="130"/>
      <c r="L29" s="149">
        <f t="shared" si="7"/>
        <v>901556929.19606876</v>
      </c>
      <c r="M29" s="183">
        <f t="shared" si="4"/>
        <v>70404343.293058619</v>
      </c>
    </row>
    <row r="30" spans="2:18" x14ac:dyDescent="0.25">
      <c r="B30" s="184" t="s">
        <v>96</v>
      </c>
      <c r="C30" s="207">
        <f>NPV(E3,C13:C29)</f>
        <v>432911501.67248261</v>
      </c>
      <c r="D30" s="122"/>
      <c r="E30" s="186"/>
      <c r="F30" s="201"/>
      <c r="G30" s="122"/>
      <c r="H30" s="122"/>
      <c r="I30" s="122"/>
      <c r="J30" s="202" t="s">
        <v>96</v>
      </c>
      <c r="K30" s="122"/>
      <c r="L30" s="122"/>
      <c r="M30" s="210">
        <f>NPV(E3,M13:M29)</f>
        <v>341728457.45773256</v>
      </c>
    </row>
    <row r="31" spans="2:18" ht="15.75" thickBot="1" x14ac:dyDescent="0.3">
      <c r="B31" s="187" t="s">
        <v>95</v>
      </c>
      <c r="C31" s="208">
        <f>C30+D12</f>
        <v>282118546.73412949</v>
      </c>
      <c r="D31" s="189"/>
      <c r="E31" s="190"/>
      <c r="F31" s="204"/>
      <c r="G31" s="189"/>
      <c r="H31" s="189"/>
      <c r="I31" s="189"/>
      <c r="J31" s="205" t="s">
        <v>95</v>
      </c>
      <c r="K31" s="205"/>
      <c r="L31" s="205"/>
      <c r="M31" s="209">
        <f>M30+K12</f>
        <v>321899183.88333911</v>
      </c>
    </row>
    <row r="33" spans="2:15" ht="15.75" thickBot="1" x14ac:dyDescent="0.3"/>
    <row r="34" spans="2:15" x14ac:dyDescent="0.25">
      <c r="B34" s="806" t="s">
        <v>119</v>
      </c>
      <c r="C34" s="807"/>
      <c r="D34" s="807"/>
      <c r="E34" s="808"/>
      <c r="F34" s="809" t="s">
        <v>241</v>
      </c>
      <c r="G34" s="810"/>
      <c r="H34" s="810"/>
      <c r="I34" s="810"/>
      <c r="J34" s="810"/>
      <c r="K34" s="810"/>
      <c r="L34" s="810"/>
      <c r="M34" s="811"/>
    </row>
    <row r="35" spans="2:15" x14ac:dyDescent="0.25">
      <c r="B35" s="812" t="s">
        <v>77</v>
      </c>
      <c r="C35" s="788" t="s">
        <v>78</v>
      </c>
      <c r="D35" s="863" t="s">
        <v>79</v>
      </c>
      <c r="E35" s="865">
        <v>0.12</v>
      </c>
      <c r="F35" s="816" t="s">
        <v>80</v>
      </c>
      <c r="G35" s="117"/>
      <c r="H35" s="118"/>
      <c r="I35" s="118"/>
      <c r="J35" s="119"/>
      <c r="K35" s="818">
        <f>(1-H37)*D44</f>
        <v>-15079295.49383531</v>
      </c>
      <c r="L35" s="117" t="s">
        <v>242</v>
      </c>
      <c r="M35" s="194">
        <v>200</v>
      </c>
      <c r="O35" t="s">
        <v>268</v>
      </c>
    </row>
    <row r="36" spans="2:15" x14ac:dyDescent="0.25">
      <c r="B36" s="813"/>
      <c r="C36" s="789"/>
      <c r="D36" s="864"/>
      <c r="E36" s="866"/>
      <c r="F36" s="817"/>
      <c r="G36" s="120" t="s">
        <v>81</v>
      </c>
      <c r="H36" s="122"/>
      <c r="I36" s="122"/>
      <c r="J36" s="123">
        <f>$M$36+M35/10000</f>
        <v>4.3400000000000001E-2</v>
      </c>
      <c r="K36" s="819"/>
      <c r="L36" s="124" t="s">
        <v>243</v>
      </c>
      <c r="M36" s="510">
        <v>2.3400000000000001E-2</v>
      </c>
    </row>
    <row r="37" spans="2:15" x14ac:dyDescent="0.25">
      <c r="B37" s="813"/>
      <c r="C37" s="789"/>
      <c r="D37" s="126"/>
      <c r="E37" s="804" t="s">
        <v>82</v>
      </c>
      <c r="F37" s="192">
        <v>0.02</v>
      </c>
      <c r="G37" s="120" t="s">
        <v>83</v>
      </c>
      <c r="H37" s="127">
        <v>0.9</v>
      </c>
      <c r="I37" s="128">
        <f>H37*D44</f>
        <v>-135713659.44451782</v>
      </c>
      <c r="J37" s="129"/>
      <c r="K37" s="820"/>
      <c r="L37" s="867" t="s">
        <v>84</v>
      </c>
      <c r="M37" s="823" t="s">
        <v>78</v>
      </c>
    </row>
    <row r="38" spans="2:15" x14ac:dyDescent="0.25">
      <c r="B38" s="175" t="s">
        <v>85</v>
      </c>
      <c r="C38" s="790"/>
      <c r="D38" s="130"/>
      <c r="E38" s="805"/>
      <c r="F38" s="182" t="s">
        <v>86</v>
      </c>
      <c r="G38" s="131" t="s">
        <v>87</v>
      </c>
      <c r="H38" s="132" t="s">
        <v>88</v>
      </c>
      <c r="I38" s="132" t="s">
        <v>89</v>
      </c>
      <c r="J38" s="133" t="s">
        <v>90</v>
      </c>
      <c r="K38" s="821"/>
      <c r="L38" s="868"/>
      <c r="M38" s="824"/>
    </row>
    <row r="39" spans="2:15" x14ac:dyDescent="0.25">
      <c r="B39" s="176">
        <v>-5</v>
      </c>
      <c r="C39" s="126"/>
      <c r="D39" s="126"/>
      <c r="E39" s="177"/>
      <c r="F39" s="193"/>
      <c r="G39" s="118"/>
      <c r="H39" s="118"/>
      <c r="I39" s="118"/>
      <c r="J39" s="119"/>
      <c r="K39" s="126"/>
      <c r="L39" s="117"/>
      <c r="M39" s="194"/>
    </row>
    <row r="40" spans="2:15" x14ac:dyDescent="0.25">
      <c r="B40" s="175">
        <v>-4</v>
      </c>
      <c r="C40" s="134"/>
      <c r="D40" s="134"/>
      <c r="E40" s="178"/>
      <c r="F40" s="195">
        <f>I37*F37*-1</f>
        <v>2714273.1888903566</v>
      </c>
      <c r="G40" s="122"/>
      <c r="H40" s="135" t="s">
        <v>91</v>
      </c>
      <c r="I40" s="122"/>
      <c r="J40" s="121"/>
      <c r="K40" s="134"/>
      <c r="L40" s="120"/>
      <c r="M40" s="186"/>
    </row>
    <row r="41" spans="2:15" x14ac:dyDescent="0.25">
      <c r="B41" s="175">
        <v>-3</v>
      </c>
      <c r="C41" s="134"/>
      <c r="D41" s="134"/>
      <c r="E41" s="178"/>
      <c r="F41" s="195">
        <f>I37*G41*-1</f>
        <v>1357136.5944451783</v>
      </c>
      <c r="G41" s="136">
        <v>0.01</v>
      </c>
      <c r="H41" s="122" t="s">
        <v>92</v>
      </c>
      <c r="I41" s="122"/>
      <c r="J41" s="121"/>
      <c r="K41" s="134"/>
      <c r="L41" s="120"/>
      <c r="M41" s="186"/>
    </row>
    <row r="42" spans="2:15" x14ac:dyDescent="0.25">
      <c r="B42" s="175">
        <v>-2</v>
      </c>
      <c r="C42" s="134"/>
      <c r="D42" s="134"/>
      <c r="E42" s="178"/>
      <c r="F42" s="196">
        <f>I37*G42*-1</f>
        <v>678568.29722258914</v>
      </c>
      <c r="G42" s="137">
        <v>5.0000000000000001E-3</v>
      </c>
      <c r="H42" s="122" t="s">
        <v>93</v>
      </c>
      <c r="I42" s="122"/>
      <c r="J42" s="121"/>
      <c r="K42" s="134"/>
      <c r="L42" s="120"/>
      <c r="M42" s="186"/>
    </row>
    <row r="43" spans="2:15" x14ac:dyDescent="0.25">
      <c r="B43" s="175">
        <v>-1</v>
      </c>
      <c r="C43" s="134"/>
      <c r="D43" s="134"/>
      <c r="E43" s="178"/>
      <c r="F43" s="197"/>
      <c r="G43" s="138"/>
      <c r="H43" s="138"/>
      <c r="I43" s="138"/>
      <c r="J43" s="125"/>
      <c r="K43" s="130"/>
      <c r="L43" s="124"/>
      <c r="M43" s="191"/>
    </row>
    <row r="44" spans="2:15" x14ac:dyDescent="0.25">
      <c r="B44" s="416">
        <v>2018</v>
      </c>
      <c r="C44" s="134"/>
      <c r="D44" s="139">
        <f>'Análisis Econ CCGT GT Sauz'!U5</f>
        <v>-150792954.93835312</v>
      </c>
      <c r="E44" s="180">
        <f>D44</f>
        <v>-150792954.93835312</v>
      </c>
      <c r="F44" s="198">
        <f>E44</f>
        <v>-150792954.93835312</v>
      </c>
      <c r="G44" s="118"/>
      <c r="H44" s="118"/>
      <c r="I44" s="118"/>
      <c r="J44" s="140">
        <f>I37*-1</f>
        <v>135713659.44451782</v>
      </c>
      <c r="K44" s="141">
        <f>K35-(F40+F41+F42)</f>
        <v>-19829273.574393433</v>
      </c>
      <c r="L44" s="141">
        <f>K44</f>
        <v>-19829273.574393433</v>
      </c>
      <c r="M44" s="536">
        <f>K44</f>
        <v>-19829273.574393433</v>
      </c>
    </row>
    <row r="45" spans="2:15" x14ac:dyDescent="0.25">
      <c r="B45" s="416">
        <v>2019</v>
      </c>
      <c r="C45" s="142">
        <f>'Análisis Econ CCGT GT Sauz'!U7</f>
        <v>55133719.955486447</v>
      </c>
      <c r="D45" s="134"/>
      <c r="E45" s="180">
        <f>E44+C45</f>
        <v>-95659234.982866675</v>
      </c>
      <c r="F45" s="199">
        <f>C45</f>
        <v>55133719.955486447</v>
      </c>
      <c r="G45" s="143">
        <f>J44*$J$36</f>
        <v>5889972.819892074</v>
      </c>
      <c r="H45" s="144">
        <f>I45-G45</f>
        <v>11126696.01755159</v>
      </c>
      <c r="I45" s="144">
        <f>PMT(J36,10,-J44,,0)</f>
        <v>17016668.837443665</v>
      </c>
      <c r="J45" s="145">
        <f>J44-H45</f>
        <v>124586963.42696624</v>
      </c>
      <c r="K45" s="134"/>
      <c r="L45" s="146">
        <f>M45+K44</f>
        <v>18287777.543649349</v>
      </c>
      <c r="M45" s="181">
        <f>F45-I45</f>
        <v>38117051.118042782</v>
      </c>
    </row>
    <row r="46" spans="2:15" x14ac:dyDescent="0.25">
      <c r="B46" s="416">
        <v>2020</v>
      </c>
      <c r="C46" s="142">
        <f>'Análisis Econ CCGT GT Sauz'!U8</f>
        <v>57594682.329771429</v>
      </c>
      <c r="D46" s="134"/>
      <c r="E46" s="180">
        <f t="shared" ref="E46:E61" si="8">E45+C46</f>
        <v>-38064552.653095245</v>
      </c>
      <c r="F46" s="199">
        <f t="shared" ref="F46:F61" si="9">C46</f>
        <v>57594682.329771429</v>
      </c>
      <c r="G46" s="143">
        <f t="shared" ref="G46:G54" si="10">J45*$J$36</f>
        <v>5407074.2127303351</v>
      </c>
      <c r="H46" s="144">
        <f>I46-G46</f>
        <v>11609594.62471333</v>
      </c>
      <c r="I46" s="144">
        <f>I45</f>
        <v>17016668.837443665</v>
      </c>
      <c r="J46" s="145">
        <f t="shared" ref="J46:J54" si="11">J45-H46</f>
        <v>112977368.8022529</v>
      </c>
      <c r="K46" s="134"/>
      <c r="L46" s="146">
        <f>M46+L45</f>
        <v>58865791.03597711</v>
      </c>
      <c r="M46" s="181">
        <f t="shared" ref="M46:M61" si="12">F46-I46</f>
        <v>40578013.492327765</v>
      </c>
    </row>
    <row r="47" spans="2:15" x14ac:dyDescent="0.25">
      <c r="B47" s="416">
        <v>2021</v>
      </c>
      <c r="C47" s="142">
        <f>'Análisis Econ CCGT GT Sauz'!U9</f>
        <v>59387508.43760024</v>
      </c>
      <c r="D47" s="134"/>
      <c r="E47" s="180">
        <f t="shared" si="8"/>
        <v>21322955.784504995</v>
      </c>
      <c r="F47" s="199">
        <f t="shared" si="9"/>
        <v>59387508.43760024</v>
      </c>
      <c r="G47" s="143">
        <f t="shared" si="10"/>
        <v>4903217.806017776</v>
      </c>
      <c r="H47" s="144">
        <f t="shared" ref="H47:H54" si="13">I47-G47</f>
        <v>12113451.03142589</v>
      </c>
      <c r="I47" s="144">
        <f t="shared" ref="I47:I54" si="14">I46</f>
        <v>17016668.837443665</v>
      </c>
      <c r="J47" s="145">
        <f t="shared" si="11"/>
        <v>100863917.77082701</v>
      </c>
      <c r="K47" s="134"/>
      <c r="L47" s="146">
        <f t="shared" ref="L47:L61" si="15">M47+L46</f>
        <v>101236630.63613369</v>
      </c>
      <c r="M47" s="181">
        <f t="shared" si="12"/>
        <v>42370839.600156575</v>
      </c>
    </row>
    <row r="48" spans="2:15" x14ac:dyDescent="0.25">
      <c r="B48" s="416">
        <v>2022</v>
      </c>
      <c r="C48" s="142">
        <f>'Análisis Econ CCGT GT Sauz'!U10</f>
        <v>60247696.896535173</v>
      </c>
      <c r="D48" s="134"/>
      <c r="E48" s="181">
        <f t="shared" si="8"/>
        <v>81570652.681040168</v>
      </c>
      <c r="F48" s="199">
        <f t="shared" si="9"/>
        <v>60247696.896535173</v>
      </c>
      <c r="G48" s="143">
        <f t="shared" si="10"/>
        <v>4377494.031253892</v>
      </c>
      <c r="H48" s="144">
        <f t="shared" si="13"/>
        <v>12639174.806189772</v>
      </c>
      <c r="I48" s="144">
        <f t="shared" si="14"/>
        <v>17016668.837443665</v>
      </c>
      <c r="J48" s="145">
        <f t="shared" si="11"/>
        <v>88224742.964637235</v>
      </c>
      <c r="K48" s="134"/>
      <c r="L48" s="146">
        <f t="shared" si="15"/>
        <v>144467658.69522518</v>
      </c>
      <c r="M48" s="181">
        <f t="shared" si="12"/>
        <v>43231028.059091508</v>
      </c>
    </row>
    <row r="49" spans="2:13" x14ac:dyDescent="0.25">
      <c r="B49" s="416">
        <v>2023</v>
      </c>
      <c r="C49" s="142">
        <f>'Análisis Econ CCGT GT Sauz'!U11</f>
        <v>61023075.13008593</v>
      </c>
      <c r="D49" s="134"/>
      <c r="E49" s="181">
        <f t="shared" si="8"/>
        <v>142593727.81112611</v>
      </c>
      <c r="F49" s="199">
        <f t="shared" si="9"/>
        <v>61023075.13008593</v>
      </c>
      <c r="G49" s="143">
        <f t="shared" si="10"/>
        <v>3828953.8446652559</v>
      </c>
      <c r="H49" s="144">
        <f t="shared" si="13"/>
        <v>13187714.992778409</v>
      </c>
      <c r="I49" s="144">
        <f t="shared" si="14"/>
        <v>17016668.837443665</v>
      </c>
      <c r="J49" s="145">
        <f t="shared" si="11"/>
        <v>75037027.971858829</v>
      </c>
      <c r="K49" s="134"/>
      <c r="L49" s="146">
        <f t="shared" si="15"/>
        <v>188474064.98786744</v>
      </c>
      <c r="M49" s="181">
        <f t="shared" si="12"/>
        <v>44006406.292642266</v>
      </c>
    </row>
    <row r="50" spans="2:13" x14ac:dyDescent="0.25">
      <c r="B50" s="416">
        <v>2024</v>
      </c>
      <c r="C50" s="142">
        <f>'Análisis Econ CCGT GT Sauz'!U12</f>
        <v>62675042.865443617</v>
      </c>
      <c r="D50" s="134"/>
      <c r="E50" s="181">
        <f t="shared" si="8"/>
        <v>205268770.67656973</v>
      </c>
      <c r="F50" s="199">
        <f t="shared" si="9"/>
        <v>62675042.865443617</v>
      </c>
      <c r="G50" s="143">
        <f t="shared" si="10"/>
        <v>3256607.0139786731</v>
      </c>
      <c r="H50" s="144">
        <f t="shared" si="13"/>
        <v>13760061.823464992</v>
      </c>
      <c r="I50" s="144">
        <f t="shared" si="14"/>
        <v>17016668.837443665</v>
      </c>
      <c r="J50" s="145">
        <f t="shared" si="11"/>
        <v>61276966.14839384</v>
      </c>
      <c r="K50" s="134"/>
      <c r="L50" s="146">
        <f t="shared" si="15"/>
        <v>234132439.01586741</v>
      </c>
      <c r="M50" s="181">
        <f t="shared" si="12"/>
        <v>45658374.027999952</v>
      </c>
    </row>
    <row r="51" spans="2:13" x14ac:dyDescent="0.25">
      <c r="B51" s="416">
        <v>2025</v>
      </c>
      <c r="C51" s="142">
        <f>'Análisis Econ CCGT GT Sauz'!U13</f>
        <v>64095735.652341053</v>
      </c>
      <c r="D51" s="134"/>
      <c r="E51" s="181">
        <f t="shared" si="8"/>
        <v>269364506.32891077</v>
      </c>
      <c r="F51" s="199">
        <f t="shared" si="9"/>
        <v>64095735.652341053</v>
      </c>
      <c r="G51" s="143">
        <f t="shared" si="10"/>
        <v>2659420.3308402929</v>
      </c>
      <c r="H51" s="144">
        <f t="shared" si="13"/>
        <v>14357248.506603371</v>
      </c>
      <c r="I51" s="144">
        <f t="shared" si="14"/>
        <v>17016668.837443665</v>
      </c>
      <c r="J51" s="145">
        <f t="shared" si="11"/>
        <v>46919717.641790465</v>
      </c>
      <c r="K51" s="134"/>
      <c r="L51" s="146">
        <f t="shared" si="15"/>
        <v>281211505.83076477</v>
      </c>
      <c r="M51" s="181">
        <f t="shared" si="12"/>
        <v>47079066.814897388</v>
      </c>
    </row>
    <row r="52" spans="2:13" x14ac:dyDescent="0.25">
      <c r="B52" s="416">
        <v>2026</v>
      </c>
      <c r="C52" s="142">
        <f>'Análisis Econ CCGT GT Sauz'!U14</f>
        <v>64816567.392268494</v>
      </c>
      <c r="D52" s="134"/>
      <c r="E52" s="181">
        <f t="shared" si="8"/>
        <v>334181073.72117925</v>
      </c>
      <c r="F52" s="199">
        <f t="shared" si="9"/>
        <v>64816567.392268494</v>
      </c>
      <c r="G52" s="143">
        <f t="shared" si="10"/>
        <v>2036315.7456537061</v>
      </c>
      <c r="H52" s="144">
        <f t="shared" si="13"/>
        <v>14980353.091789959</v>
      </c>
      <c r="I52" s="144">
        <f t="shared" si="14"/>
        <v>17016668.837443665</v>
      </c>
      <c r="J52" s="145">
        <f t="shared" si="11"/>
        <v>31939364.550000504</v>
      </c>
      <c r="K52" s="134"/>
      <c r="L52" s="146">
        <f t="shared" si="15"/>
        <v>329011404.3855896</v>
      </c>
      <c r="M52" s="181">
        <f t="shared" si="12"/>
        <v>47799898.554824829</v>
      </c>
    </row>
    <row r="53" spans="2:13" x14ac:dyDescent="0.25">
      <c r="B53" s="416">
        <v>2027</v>
      </c>
      <c r="C53" s="142">
        <f>'Análisis Econ CCGT GT Sauz'!U15</f>
        <v>64852071.233365655</v>
      </c>
      <c r="D53" s="134"/>
      <c r="E53" s="181">
        <f t="shared" si="8"/>
        <v>399033144.9545449</v>
      </c>
      <c r="F53" s="199">
        <f t="shared" si="9"/>
        <v>64852071.233365655</v>
      </c>
      <c r="G53" s="143">
        <f t="shared" si="10"/>
        <v>1386168.4214700218</v>
      </c>
      <c r="H53" s="144">
        <f t="shared" si="13"/>
        <v>15630500.415973643</v>
      </c>
      <c r="I53" s="144">
        <f t="shared" si="14"/>
        <v>17016668.837443665</v>
      </c>
      <c r="J53" s="145">
        <f t="shared" si="11"/>
        <v>16308864.134026861</v>
      </c>
      <c r="K53" s="134"/>
      <c r="L53" s="146">
        <f t="shared" si="15"/>
        <v>376846806.7815116</v>
      </c>
      <c r="M53" s="181">
        <f t="shared" si="12"/>
        <v>47835402.39592199</v>
      </c>
    </row>
    <row r="54" spans="2:13" x14ac:dyDescent="0.25">
      <c r="B54" s="416">
        <v>2028</v>
      </c>
      <c r="C54" s="142">
        <f>'Análisis Econ CCGT GT Sauz'!U16</f>
        <v>65482824.973112538</v>
      </c>
      <c r="D54" s="134"/>
      <c r="E54" s="181">
        <f t="shared" si="8"/>
        <v>464515969.92765743</v>
      </c>
      <c r="F54" s="199">
        <f t="shared" si="9"/>
        <v>65482824.973112538</v>
      </c>
      <c r="G54" s="143">
        <f t="shared" si="10"/>
        <v>707804.70341676578</v>
      </c>
      <c r="H54" s="144">
        <f t="shared" si="13"/>
        <v>16308864.134026898</v>
      </c>
      <c r="I54" s="144">
        <f t="shared" si="14"/>
        <v>17016668.837443665</v>
      </c>
      <c r="J54" s="509">
        <f t="shared" si="11"/>
        <v>-3.7252902984619141E-8</v>
      </c>
      <c r="K54" s="134"/>
      <c r="L54" s="146">
        <f t="shared" si="15"/>
        <v>425312962.91718048</v>
      </c>
      <c r="M54" s="181">
        <f t="shared" si="12"/>
        <v>48466156.135668874</v>
      </c>
    </row>
    <row r="55" spans="2:13" x14ac:dyDescent="0.25">
      <c r="B55" s="416">
        <v>2029</v>
      </c>
      <c r="C55" s="142">
        <f>'Análisis Econ CCGT GT Sauz'!U17</f>
        <v>67027017.820058376</v>
      </c>
      <c r="D55" s="134"/>
      <c r="E55" s="181">
        <f t="shared" si="8"/>
        <v>531542987.74771583</v>
      </c>
      <c r="F55" s="199">
        <f t="shared" si="9"/>
        <v>67027017.820058376</v>
      </c>
      <c r="G55" s="143"/>
      <c r="H55" s="147">
        <f>SUM(H45:H54)</f>
        <v>135713659.44451785</v>
      </c>
      <c r="I55" s="144"/>
      <c r="J55" s="150"/>
      <c r="K55" s="134"/>
      <c r="L55" s="146">
        <f t="shared" si="15"/>
        <v>492339980.73723888</v>
      </c>
      <c r="M55" s="181">
        <f t="shared" si="12"/>
        <v>67027017.820058376</v>
      </c>
    </row>
    <row r="56" spans="2:13" x14ac:dyDescent="0.25">
      <c r="B56" s="416">
        <v>2030</v>
      </c>
      <c r="C56" s="142">
        <f>'Análisis Econ CCGT GT Sauz'!U18</f>
        <v>68348146.522508487</v>
      </c>
      <c r="D56" s="134"/>
      <c r="E56" s="181">
        <f t="shared" si="8"/>
        <v>599891134.27022433</v>
      </c>
      <c r="F56" s="199">
        <f t="shared" si="9"/>
        <v>68348146.522508487</v>
      </c>
      <c r="G56" s="143"/>
      <c r="H56" s="144"/>
      <c r="I56" s="122"/>
      <c r="J56" s="145"/>
      <c r="K56" s="134"/>
      <c r="L56" s="146">
        <f t="shared" si="15"/>
        <v>560688127.25974739</v>
      </c>
      <c r="M56" s="181">
        <f t="shared" si="12"/>
        <v>68348146.522508487</v>
      </c>
    </row>
    <row r="57" spans="2:13" x14ac:dyDescent="0.25">
      <c r="B57" s="416">
        <v>2031</v>
      </c>
      <c r="C57" s="142">
        <f>'Análisis Econ CCGT GT Sauz'!U19</f>
        <v>69972550.478013143</v>
      </c>
      <c r="D57" s="134"/>
      <c r="E57" s="181">
        <f t="shared" si="8"/>
        <v>669863684.74823749</v>
      </c>
      <c r="F57" s="199">
        <f t="shared" si="9"/>
        <v>69972550.478013143</v>
      </c>
      <c r="G57" s="143"/>
      <c r="H57" s="144"/>
      <c r="I57" s="122"/>
      <c r="J57" s="145"/>
      <c r="K57" s="134"/>
      <c r="L57" s="146">
        <f t="shared" si="15"/>
        <v>630660677.73776054</v>
      </c>
      <c r="M57" s="181">
        <f t="shared" si="12"/>
        <v>69972550.478013143</v>
      </c>
    </row>
    <row r="58" spans="2:13" x14ac:dyDescent="0.25">
      <c r="B58" s="416">
        <v>2032</v>
      </c>
      <c r="C58" s="142">
        <f>'Análisis Econ CCGT GT Sauz'!U20</f>
        <v>69561594.379298165</v>
      </c>
      <c r="D58" s="134"/>
      <c r="E58" s="181">
        <f t="shared" si="8"/>
        <v>739425279.1275357</v>
      </c>
      <c r="F58" s="199">
        <f t="shared" si="9"/>
        <v>69561594.379298165</v>
      </c>
      <c r="G58" s="143"/>
      <c r="H58" s="144"/>
      <c r="I58" s="122"/>
      <c r="J58" s="145"/>
      <c r="K58" s="134"/>
      <c r="L58" s="146">
        <f t="shared" si="15"/>
        <v>700222272.11705875</v>
      </c>
      <c r="M58" s="181">
        <f t="shared" si="12"/>
        <v>69561594.379298165</v>
      </c>
    </row>
    <row r="59" spans="2:13" x14ac:dyDescent="0.25">
      <c r="B59" s="416">
        <v>2033</v>
      </c>
      <c r="C59" s="142">
        <f>'Análisis Econ CCGT GT Sauz'!U21</f>
        <v>70438396.154031217</v>
      </c>
      <c r="D59" s="134"/>
      <c r="E59" s="181">
        <f t="shared" si="8"/>
        <v>809863675.28156686</v>
      </c>
      <c r="F59" s="199">
        <f t="shared" si="9"/>
        <v>70438396.154031217</v>
      </c>
      <c r="G59" s="143"/>
      <c r="H59" s="144"/>
      <c r="I59" s="122"/>
      <c r="J59" s="145"/>
      <c r="K59" s="134"/>
      <c r="L59" s="146">
        <f t="shared" si="15"/>
        <v>770660668.27109003</v>
      </c>
      <c r="M59" s="181">
        <f t="shared" si="12"/>
        <v>70438396.154031217</v>
      </c>
    </row>
    <row r="60" spans="2:13" x14ac:dyDescent="0.25">
      <c r="B60" s="416">
        <v>2034</v>
      </c>
      <c r="C60" s="142">
        <f>'Análisis Econ CCGT GT Sauz'!U22</f>
        <v>70404343.293058619</v>
      </c>
      <c r="D60" s="134"/>
      <c r="E60" s="181">
        <f t="shared" si="8"/>
        <v>880268018.57462549</v>
      </c>
      <c r="F60" s="199">
        <f t="shared" si="9"/>
        <v>70404343.293058619</v>
      </c>
      <c r="G60" s="122"/>
      <c r="H60" s="122"/>
      <c r="I60" s="122"/>
      <c r="J60" s="121"/>
      <c r="K60" s="134"/>
      <c r="L60" s="146">
        <f t="shared" si="15"/>
        <v>841065011.56414866</v>
      </c>
      <c r="M60" s="181">
        <f t="shared" si="12"/>
        <v>70404343.293058619</v>
      </c>
    </row>
    <row r="61" spans="2:13" x14ac:dyDescent="0.25">
      <c r="B61" s="182">
        <v>2035</v>
      </c>
      <c r="C61" s="148">
        <f>'Análisis Econ CCGT GT Sauz'!U23</f>
        <v>0</v>
      </c>
      <c r="D61" s="130"/>
      <c r="E61" s="183">
        <f t="shared" si="8"/>
        <v>880268018.57462549</v>
      </c>
      <c r="F61" s="200">
        <f t="shared" si="9"/>
        <v>0</v>
      </c>
      <c r="G61" s="138"/>
      <c r="H61" s="138"/>
      <c r="I61" s="138"/>
      <c r="J61" s="125"/>
      <c r="K61" s="130"/>
      <c r="L61" s="149">
        <f t="shared" si="15"/>
        <v>841065011.56414866</v>
      </c>
      <c r="M61" s="183">
        <f t="shared" si="12"/>
        <v>0</v>
      </c>
    </row>
    <row r="62" spans="2:13" x14ac:dyDescent="0.25">
      <c r="B62" s="184" t="s">
        <v>96</v>
      </c>
      <c r="C62" s="207">
        <f>NPV(E35,C45:C61)</f>
        <v>433156103.95672059</v>
      </c>
      <c r="D62" s="122"/>
      <c r="E62" s="186"/>
      <c r="F62" s="201"/>
      <c r="G62" s="122"/>
      <c r="H62" s="122"/>
      <c r="I62" s="122"/>
      <c r="J62" s="202" t="s">
        <v>96</v>
      </c>
      <c r="K62" s="122"/>
      <c r="L62" s="122"/>
      <c r="M62" s="210">
        <f>NPV(E35,M45:M61)</f>
        <v>337008129.82455486</v>
      </c>
    </row>
    <row r="63" spans="2:13" ht="15.75" thickBot="1" x14ac:dyDescent="0.3">
      <c r="B63" s="187" t="s">
        <v>95</v>
      </c>
      <c r="C63" s="208">
        <f>C62+D44</f>
        <v>282363149.01836747</v>
      </c>
      <c r="D63" s="189"/>
      <c r="E63" s="190"/>
      <c r="F63" s="204"/>
      <c r="G63" s="189"/>
      <c r="H63" s="189"/>
      <c r="I63" s="189"/>
      <c r="J63" s="205" t="s">
        <v>95</v>
      </c>
      <c r="K63" s="205"/>
      <c r="L63" s="205"/>
      <c r="M63" s="209">
        <f>M62+K44</f>
        <v>317178856.25016141</v>
      </c>
    </row>
    <row r="65" spans="2:13" ht="15.75" thickBot="1" x14ac:dyDescent="0.3"/>
    <row r="66" spans="2:13" x14ac:dyDescent="0.25">
      <c r="B66" s="791" t="s">
        <v>286</v>
      </c>
      <c r="C66" s="792"/>
      <c r="D66" s="792"/>
      <c r="E66" s="792"/>
      <c r="F66" s="792"/>
      <c r="G66" s="792"/>
      <c r="H66" s="792"/>
      <c r="I66" s="792"/>
      <c r="J66" s="792"/>
      <c r="K66" s="792"/>
      <c r="L66" s="792"/>
      <c r="M66" s="793"/>
    </row>
    <row r="67" spans="2:13" x14ac:dyDescent="0.25">
      <c r="B67" s="794" t="s">
        <v>77</v>
      </c>
      <c r="C67" s="782" t="s">
        <v>78</v>
      </c>
      <c r="D67" s="871" t="s">
        <v>79</v>
      </c>
      <c r="E67" s="872">
        <v>0.12</v>
      </c>
      <c r="F67" s="798" t="s">
        <v>80</v>
      </c>
      <c r="G67" s="606"/>
      <c r="H67" s="610"/>
      <c r="I67" s="610"/>
      <c r="J67" s="611"/>
      <c r="K67" s="800">
        <f>(1-H69)*D76</f>
        <v>-15079295.49383531</v>
      </c>
      <c r="L67" s="606" t="s">
        <v>242</v>
      </c>
      <c r="M67" s="607">
        <v>550</v>
      </c>
    </row>
    <row r="68" spans="2:13" x14ac:dyDescent="0.25">
      <c r="B68" s="795"/>
      <c r="C68" s="783"/>
      <c r="D68" s="803"/>
      <c r="E68" s="873"/>
      <c r="F68" s="799"/>
      <c r="G68" s="612" t="s">
        <v>81</v>
      </c>
      <c r="H68" s="613"/>
      <c r="I68" s="613"/>
      <c r="J68" s="614">
        <f>$M$36+M67/10000</f>
        <v>7.8399999999999997E-2</v>
      </c>
      <c r="K68" s="801"/>
      <c r="L68" s="608" t="s">
        <v>243</v>
      </c>
      <c r="M68" s="609">
        <v>2.3400000000000001E-2</v>
      </c>
    </row>
    <row r="69" spans="2:13" x14ac:dyDescent="0.25">
      <c r="B69" s="795"/>
      <c r="C69" s="783"/>
      <c r="D69" s="622"/>
      <c r="E69" s="825" t="s">
        <v>82</v>
      </c>
      <c r="F69" s="615">
        <v>0.02</v>
      </c>
      <c r="G69" s="612" t="s">
        <v>83</v>
      </c>
      <c r="H69" s="616">
        <v>0.9</v>
      </c>
      <c r="I69" s="600">
        <f>H69*D76</f>
        <v>-135713659.44451782</v>
      </c>
      <c r="J69" s="601"/>
      <c r="K69" s="802"/>
      <c r="L69" s="869" t="s">
        <v>251</v>
      </c>
      <c r="M69" s="827" t="s">
        <v>226</v>
      </c>
    </row>
    <row r="70" spans="2:13" x14ac:dyDescent="0.25">
      <c r="B70" s="637" t="s">
        <v>85</v>
      </c>
      <c r="C70" s="784"/>
      <c r="D70" s="632"/>
      <c r="E70" s="826"/>
      <c r="F70" s="617" t="s">
        <v>86</v>
      </c>
      <c r="G70" s="618" t="s">
        <v>87</v>
      </c>
      <c r="H70" s="619" t="s">
        <v>88</v>
      </c>
      <c r="I70" s="619" t="s">
        <v>89</v>
      </c>
      <c r="J70" s="620" t="s">
        <v>90</v>
      </c>
      <c r="K70" s="803"/>
      <c r="L70" s="870"/>
      <c r="M70" s="828"/>
    </row>
    <row r="71" spans="2:13" x14ac:dyDescent="0.25">
      <c r="B71" s="640"/>
      <c r="C71" s="622"/>
      <c r="D71" s="622"/>
      <c r="E71" s="651"/>
      <c r="F71" s="621"/>
      <c r="G71" s="610"/>
      <c r="H71" s="610"/>
      <c r="I71" s="610"/>
      <c r="J71" s="611"/>
      <c r="K71" s="622"/>
      <c r="L71" s="606"/>
      <c r="M71" s="607"/>
    </row>
    <row r="72" spans="2:13" x14ac:dyDescent="0.25">
      <c r="B72" s="637"/>
      <c r="C72" s="625"/>
      <c r="D72" s="625"/>
      <c r="E72" s="652"/>
      <c r="F72" s="623">
        <f>I69*F69*-1</f>
        <v>2714273.1888903566</v>
      </c>
      <c r="G72" s="613"/>
      <c r="H72" s="613" t="s">
        <v>91</v>
      </c>
      <c r="I72" s="613"/>
      <c r="J72" s="624"/>
      <c r="K72" s="625"/>
      <c r="L72" s="612"/>
      <c r="M72" s="653"/>
    </row>
    <row r="73" spans="2:13" x14ac:dyDescent="0.25">
      <c r="B73" s="637"/>
      <c r="C73" s="625"/>
      <c r="D73" s="625"/>
      <c r="E73" s="652"/>
      <c r="F73" s="623">
        <f>I69*G73*-1</f>
        <v>1357136.5944451783</v>
      </c>
      <c r="G73" s="626">
        <v>0.01</v>
      </c>
      <c r="H73" s="613" t="s">
        <v>92</v>
      </c>
      <c r="I73" s="613"/>
      <c r="J73" s="624"/>
      <c r="K73" s="625"/>
      <c r="L73" s="612"/>
      <c r="M73" s="653"/>
    </row>
    <row r="74" spans="2:13" x14ac:dyDescent="0.25">
      <c r="B74" s="637"/>
      <c r="C74" s="625"/>
      <c r="D74" s="625"/>
      <c r="E74" s="652"/>
      <c r="F74" s="627">
        <f>I69*G74*-1</f>
        <v>678568.29722258914</v>
      </c>
      <c r="G74" s="628">
        <v>5.0000000000000001E-3</v>
      </c>
      <c r="H74" s="613" t="s">
        <v>93</v>
      </c>
      <c r="I74" s="613"/>
      <c r="J74" s="624"/>
      <c r="K74" s="625"/>
      <c r="L74" s="612"/>
      <c r="M74" s="653"/>
    </row>
    <row r="75" spans="2:13" x14ac:dyDescent="0.25">
      <c r="B75" s="617"/>
      <c r="C75" s="625"/>
      <c r="D75" s="625"/>
      <c r="E75" s="652"/>
      <c r="F75" s="629"/>
      <c r="G75" s="630"/>
      <c r="H75" s="630"/>
      <c r="I75" s="630"/>
      <c r="J75" s="631"/>
      <c r="K75" s="632"/>
      <c r="L75" s="608"/>
      <c r="M75" s="654"/>
    </row>
    <row r="76" spans="2:13" x14ac:dyDescent="0.25">
      <c r="B76" s="635">
        <v>2018</v>
      </c>
      <c r="C76" s="599"/>
      <c r="D76" s="655">
        <f>'Análisis Econ CCGT GT Sauz'!U5</f>
        <v>-150792954.93835312</v>
      </c>
      <c r="E76" s="656">
        <f>D76</f>
        <v>-150792954.93835312</v>
      </c>
      <c r="F76" s="657">
        <f>E76</f>
        <v>-150792954.93835312</v>
      </c>
      <c r="G76" s="596"/>
      <c r="H76" s="596"/>
      <c r="I76" s="596"/>
      <c r="J76" s="658">
        <f>I69*-1</f>
        <v>135713659.44451782</v>
      </c>
      <c r="K76" s="659">
        <f>K67-(F72+F73+F74)</f>
        <v>-19829273.574393433</v>
      </c>
      <c r="L76" s="659">
        <f>K76</f>
        <v>-19829273.574393433</v>
      </c>
      <c r="M76" s="660">
        <f>K76</f>
        <v>-19829273.574393433</v>
      </c>
    </row>
    <row r="77" spans="2:13" x14ac:dyDescent="0.25">
      <c r="B77" s="416">
        <v>2019</v>
      </c>
      <c r="C77" s="142">
        <f>'Análisis Econ CCGT GT Sauz'!U6</f>
        <v>51704777.916459918</v>
      </c>
      <c r="D77" s="134"/>
      <c r="E77" s="180">
        <f>E76+C77</f>
        <v>-99088177.021893203</v>
      </c>
      <c r="F77" s="199">
        <f>C77</f>
        <v>51704777.916459918</v>
      </c>
      <c r="G77" s="143">
        <f>J76*$J$68</f>
        <v>10639950.900450196</v>
      </c>
      <c r="H77" s="144">
        <f>I77-G77</f>
        <v>9439666.107672181</v>
      </c>
      <c r="I77" s="144">
        <f>PMT(J68,10,-J76,,0)</f>
        <v>20079617.008122377</v>
      </c>
      <c r="J77" s="145">
        <f>J76-H77</f>
        <v>126273993.33684564</v>
      </c>
      <c r="K77" s="134"/>
      <c r="L77" s="146">
        <f>M77+K76</f>
        <v>11795887.333944108</v>
      </c>
      <c r="M77" s="181">
        <f>F77-I77</f>
        <v>31625160.908337541</v>
      </c>
    </row>
    <row r="78" spans="2:13" x14ac:dyDescent="0.25">
      <c r="B78" s="635">
        <v>2020</v>
      </c>
      <c r="C78" s="661">
        <f>'Análisis Econ CCGT GT Sauz'!U7</f>
        <v>55133719.955486447</v>
      </c>
      <c r="D78" s="599"/>
      <c r="E78" s="656">
        <f t="shared" ref="E78:E93" si="16">E77+C78</f>
        <v>-43954457.066406757</v>
      </c>
      <c r="F78" s="662">
        <f t="shared" ref="F78:F93" si="17">C78</f>
        <v>55133719.955486447</v>
      </c>
      <c r="G78" s="663">
        <f t="shared" ref="G78:G86" si="18">J77*$J$68</f>
        <v>9899881.0776086971</v>
      </c>
      <c r="H78" s="664">
        <f>I78-G78</f>
        <v>10179735.93051368</v>
      </c>
      <c r="I78" s="664">
        <f>I77</f>
        <v>20079617.008122377</v>
      </c>
      <c r="J78" s="665">
        <f t="shared" ref="J78:J86" si="19">J77-H78</f>
        <v>116094257.40633196</v>
      </c>
      <c r="K78" s="599"/>
      <c r="L78" s="666">
        <f>M78+L77</f>
        <v>46849990.281308174</v>
      </c>
      <c r="M78" s="667">
        <f t="shared" ref="M78:M93" si="20">F78-I78</f>
        <v>35054102.94736407</v>
      </c>
    </row>
    <row r="79" spans="2:13" x14ac:dyDescent="0.25">
      <c r="B79" s="416">
        <v>2021</v>
      </c>
      <c r="C79" s="142">
        <f>'Análisis Econ CCGT GT Sauz'!U8</f>
        <v>57594682.329771429</v>
      </c>
      <c r="D79" s="134"/>
      <c r="E79" s="180">
        <f t="shared" si="16"/>
        <v>13640225.263364673</v>
      </c>
      <c r="F79" s="199">
        <f t="shared" si="17"/>
        <v>57594682.329771429</v>
      </c>
      <c r="G79" s="143">
        <f t="shared" si="18"/>
        <v>9101789.7806564253</v>
      </c>
      <c r="H79" s="144">
        <f t="shared" ref="H79:H86" si="21">I79-G79</f>
        <v>10977827.227465952</v>
      </c>
      <c r="I79" s="144">
        <f t="shared" ref="I79:I86" si="22">I78</f>
        <v>20079617.008122377</v>
      </c>
      <c r="J79" s="145">
        <f t="shared" si="19"/>
        <v>105116430.178866</v>
      </c>
      <c r="K79" s="134"/>
      <c r="L79" s="146">
        <f t="shared" ref="L79:L93" si="23">M79+L78</f>
        <v>84365055.602957219</v>
      </c>
      <c r="M79" s="181">
        <f t="shared" si="20"/>
        <v>37515065.321649052</v>
      </c>
    </row>
    <row r="80" spans="2:13" x14ac:dyDescent="0.25">
      <c r="B80" s="635">
        <v>2022</v>
      </c>
      <c r="C80" s="661">
        <f>'Análisis Econ CCGT GT Sauz'!U9</f>
        <v>59387508.43760024</v>
      </c>
      <c r="D80" s="599"/>
      <c r="E80" s="667">
        <f t="shared" si="16"/>
        <v>73027733.700964913</v>
      </c>
      <c r="F80" s="662">
        <f t="shared" si="17"/>
        <v>59387508.43760024</v>
      </c>
      <c r="G80" s="663">
        <f t="shared" si="18"/>
        <v>8241128.1260230942</v>
      </c>
      <c r="H80" s="664">
        <f t="shared" si="21"/>
        <v>11838488.882099282</v>
      </c>
      <c r="I80" s="664">
        <f t="shared" si="22"/>
        <v>20079617.008122377</v>
      </c>
      <c r="J80" s="665">
        <f t="shared" si="19"/>
        <v>93277941.296766713</v>
      </c>
      <c r="K80" s="599"/>
      <c r="L80" s="666">
        <f t="shared" si="23"/>
        <v>123672947.03243509</v>
      </c>
      <c r="M80" s="667">
        <f t="shared" si="20"/>
        <v>39307891.429477863</v>
      </c>
    </row>
    <row r="81" spans="2:13" x14ac:dyDescent="0.25">
      <c r="B81" s="416">
        <v>2023</v>
      </c>
      <c r="C81" s="142">
        <f>'Análisis Econ CCGT GT Sauz'!U10</f>
        <v>60247696.896535173</v>
      </c>
      <c r="D81" s="134"/>
      <c r="E81" s="181">
        <f t="shared" si="16"/>
        <v>133275430.59750009</v>
      </c>
      <c r="F81" s="199">
        <f t="shared" si="17"/>
        <v>60247696.896535173</v>
      </c>
      <c r="G81" s="143">
        <f t="shared" si="18"/>
        <v>7312990.5976665104</v>
      </c>
      <c r="H81" s="144">
        <f t="shared" si="21"/>
        <v>12766626.410455868</v>
      </c>
      <c r="I81" s="144">
        <f t="shared" si="22"/>
        <v>20079617.008122377</v>
      </c>
      <c r="J81" s="145">
        <f t="shared" si="19"/>
        <v>80511314.886310846</v>
      </c>
      <c r="K81" s="134"/>
      <c r="L81" s="146">
        <f t="shared" si="23"/>
        <v>163841026.92084789</v>
      </c>
      <c r="M81" s="181">
        <f t="shared" si="20"/>
        <v>40168079.888412796</v>
      </c>
    </row>
    <row r="82" spans="2:13" x14ac:dyDescent="0.25">
      <c r="B82" s="635">
        <v>2024</v>
      </c>
      <c r="C82" s="661">
        <f>'Análisis Econ CCGT GT Sauz'!U11</f>
        <v>61023075.13008593</v>
      </c>
      <c r="D82" s="599"/>
      <c r="E82" s="667">
        <f t="shared" si="16"/>
        <v>194298505.72758603</v>
      </c>
      <c r="F82" s="662">
        <f t="shared" si="17"/>
        <v>61023075.13008593</v>
      </c>
      <c r="G82" s="663">
        <f t="shared" si="18"/>
        <v>6312087.0870867698</v>
      </c>
      <c r="H82" s="664">
        <f t="shared" si="21"/>
        <v>13767529.921035606</v>
      </c>
      <c r="I82" s="664">
        <f t="shared" si="22"/>
        <v>20079617.008122377</v>
      </c>
      <c r="J82" s="665">
        <f t="shared" si="19"/>
        <v>66743784.965275243</v>
      </c>
      <c r="K82" s="599"/>
      <c r="L82" s="666">
        <f t="shared" si="23"/>
        <v>204784485.04281145</v>
      </c>
      <c r="M82" s="667">
        <f t="shared" si="20"/>
        <v>40943458.121963553</v>
      </c>
    </row>
    <row r="83" spans="2:13" x14ac:dyDescent="0.25">
      <c r="B83" s="416">
        <v>2025</v>
      </c>
      <c r="C83" s="142">
        <f>'Análisis Econ CCGT GT Sauz'!U12</f>
        <v>62675042.865443617</v>
      </c>
      <c r="D83" s="134"/>
      <c r="E83" s="181">
        <f t="shared" si="16"/>
        <v>256973548.59302965</v>
      </c>
      <c r="F83" s="199">
        <f t="shared" si="17"/>
        <v>62675042.865443617</v>
      </c>
      <c r="G83" s="143">
        <f t="shared" si="18"/>
        <v>5232712.7412775792</v>
      </c>
      <c r="H83" s="144">
        <f t="shared" si="21"/>
        <v>14846904.266844798</v>
      </c>
      <c r="I83" s="144">
        <f t="shared" si="22"/>
        <v>20079617.008122377</v>
      </c>
      <c r="J83" s="145">
        <f t="shared" si="19"/>
        <v>51896880.698430449</v>
      </c>
      <c r="K83" s="134"/>
      <c r="L83" s="146">
        <f t="shared" si="23"/>
        <v>247379910.90013269</v>
      </c>
      <c r="M83" s="181">
        <f t="shared" si="20"/>
        <v>42595425.85732124</v>
      </c>
    </row>
    <row r="84" spans="2:13" x14ac:dyDescent="0.25">
      <c r="B84" s="635">
        <v>2026</v>
      </c>
      <c r="C84" s="661">
        <f>'Análisis Econ CCGT GT Sauz'!U13</f>
        <v>64095735.652341053</v>
      </c>
      <c r="D84" s="599"/>
      <c r="E84" s="667">
        <f t="shared" si="16"/>
        <v>321069284.24537069</v>
      </c>
      <c r="F84" s="662">
        <f t="shared" si="17"/>
        <v>64095735.652341053</v>
      </c>
      <c r="G84" s="663">
        <f t="shared" si="18"/>
        <v>4068715.4467569469</v>
      </c>
      <c r="H84" s="664">
        <f t="shared" si="21"/>
        <v>16010901.561365429</v>
      </c>
      <c r="I84" s="664">
        <f t="shared" si="22"/>
        <v>20079617.008122377</v>
      </c>
      <c r="J84" s="665">
        <f t="shared" si="19"/>
        <v>35885979.137065023</v>
      </c>
      <c r="K84" s="599"/>
      <c r="L84" s="666">
        <f t="shared" si="23"/>
        <v>291396029.54435134</v>
      </c>
      <c r="M84" s="667">
        <f t="shared" si="20"/>
        <v>44016118.644218676</v>
      </c>
    </row>
    <row r="85" spans="2:13" x14ac:dyDescent="0.25">
      <c r="B85" s="416">
        <v>2027</v>
      </c>
      <c r="C85" s="142">
        <f>'Análisis Econ CCGT GT Sauz'!U14</f>
        <v>64816567.392268494</v>
      </c>
      <c r="D85" s="134"/>
      <c r="E85" s="181">
        <f t="shared" si="16"/>
        <v>385885851.63763916</v>
      </c>
      <c r="F85" s="199">
        <f t="shared" si="17"/>
        <v>64816567.392268494</v>
      </c>
      <c r="G85" s="143">
        <f t="shared" si="18"/>
        <v>2813460.7643458978</v>
      </c>
      <c r="H85" s="144">
        <f t="shared" si="21"/>
        <v>17266156.243776478</v>
      </c>
      <c r="I85" s="144">
        <f t="shared" si="22"/>
        <v>20079617.008122377</v>
      </c>
      <c r="J85" s="145">
        <f t="shared" si="19"/>
        <v>18619822.893288545</v>
      </c>
      <c r="K85" s="134"/>
      <c r="L85" s="146">
        <f t="shared" si="23"/>
        <v>336132979.92849743</v>
      </c>
      <c r="M85" s="181">
        <f t="shared" si="20"/>
        <v>44736950.384146117</v>
      </c>
    </row>
    <row r="86" spans="2:13" x14ac:dyDescent="0.25">
      <c r="B86" s="635">
        <v>2028</v>
      </c>
      <c r="C86" s="661">
        <f>'Análisis Econ CCGT GT Sauz'!U15</f>
        <v>64852071.233365655</v>
      </c>
      <c r="D86" s="599"/>
      <c r="E86" s="667">
        <f t="shared" si="16"/>
        <v>450737922.87100482</v>
      </c>
      <c r="F86" s="662">
        <f t="shared" si="17"/>
        <v>64852071.233365655</v>
      </c>
      <c r="G86" s="663">
        <f t="shared" si="18"/>
        <v>1459794.114833822</v>
      </c>
      <c r="H86" s="664">
        <f t="shared" si="21"/>
        <v>18619822.893288556</v>
      </c>
      <c r="I86" s="664">
        <f t="shared" si="22"/>
        <v>20079617.008122377</v>
      </c>
      <c r="J86" s="669">
        <f t="shared" si="19"/>
        <v>0</v>
      </c>
      <c r="K86" s="599"/>
      <c r="L86" s="666">
        <f t="shared" si="23"/>
        <v>380905434.1537407</v>
      </c>
      <c r="M86" s="667">
        <f t="shared" si="20"/>
        <v>44772454.225243278</v>
      </c>
    </row>
    <row r="87" spans="2:13" x14ac:dyDescent="0.25">
      <c r="B87" s="416">
        <v>2029</v>
      </c>
      <c r="C87" s="142">
        <f>'Análisis Econ CCGT GT Sauz'!U16</f>
        <v>65482824.973112538</v>
      </c>
      <c r="D87" s="134"/>
      <c r="E87" s="181">
        <f t="shared" si="16"/>
        <v>516220747.84411734</v>
      </c>
      <c r="F87" s="199">
        <f t="shared" si="17"/>
        <v>65482824.973112538</v>
      </c>
      <c r="G87" s="143"/>
      <c r="H87" s="147">
        <f>SUM(H77:H86)</f>
        <v>135713659.44451782</v>
      </c>
      <c r="I87" s="144"/>
      <c r="J87" s="150"/>
      <c r="K87" s="134"/>
      <c r="L87" s="146">
        <f t="shared" si="23"/>
        <v>446388259.12685323</v>
      </c>
      <c r="M87" s="181">
        <f t="shared" si="20"/>
        <v>65482824.973112538</v>
      </c>
    </row>
    <row r="88" spans="2:13" x14ac:dyDescent="0.25">
      <c r="B88" s="635">
        <v>2030</v>
      </c>
      <c r="C88" s="661">
        <f>'Análisis Econ CCGT GT Sauz'!U17</f>
        <v>67027017.820058376</v>
      </c>
      <c r="D88" s="599"/>
      <c r="E88" s="667">
        <f t="shared" si="16"/>
        <v>583247765.66417575</v>
      </c>
      <c r="F88" s="662">
        <f t="shared" si="17"/>
        <v>67027017.820058376</v>
      </c>
      <c r="G88" s="663"/>
      <c r="H88" s="664"/>
      <c r="I88" s="597"/>
      <c r="J88" s="665"/>
      <c r="K88" s="599"/>
      <c r="L88" s="666">
        <f t="shared" si="23"/>
        <v>513415276.94691157</v>
      </c>
      <c r="M88" s="667">
        <f t="shared" si="20"/>
        <v>67027017.820058376</v>
      </c>
    </row>
    <row r="89" spans="2:13" x14ac:dyDescent="0.25">
      <c r="B89" s="416">
        <v>2031</v>
      </c>
      <c r="C89" s="142">
        <f>'Análisis Econ CCGT GT Sauz'!U18</f>
        <v>68348146.522508487</v>
      </c>
      <c r="D89" s="134"/>
      <c r="E89" s="181">
        <f t="shared" si="16"/>
        <v>651595912.18668425</v>
      </c>
      <c r="F89" s="199">
        <f t="shared" si="17"/>
        <v>68348146.522508487</v>
      </c>
      <c r="G89" s="143"/>
      <c r="H89" s="144"/>
      <c r="I89" s="122"/>
      <c r="J89" s="145"/>
      <c r="K89" s="134"/>
      <c r="L89" s="146">
        <f t="shared" si="23"/>
        <v>581763423.46942008</v>
      </c>
      <c r="M89" s="181">
        <f t="shared" si="20"/>
        <v>68348146.522508487</v>
      </c>
    </row>
    <row r="90" spans="2:13" x14ac:dyDescent="0.25">
      <c r="B90" s="635">
        <v>2032</v>
      </c>
      <c r="C90" s="661">
        <f>'Análisis Econ CCGT GT Sauz'!U19</f>
        <v>69972550.478013143</v>
      </c>
      <c r="D90" s="599"/>
      <c r="E90" s="667">
        <f t="shared" si="16"/>
        <v>721568462.66469741</v>
      </c>
      <c r="F90" s="662">
        <f t="shared" si="17"/>
        <v>69972550.478013143</v>
      </c>
      <c r="G90" s="663"/>
      <c r="H90" s="664"/>
      <c r="I90" s="597"/>
      <c r="J90" s="665"/>
      <c r="K90" s="599"/>
      <c r="L90" s="666">
        <f t="shared" si="23"/>
        <v>651735973.94743323</v>
      </c>
      <c r="M90" s="667">
        <f t="shared" si="20"/>
        <v>69972550.478013143</v>
      </c>
    </row>
    <row r="91" spans="2:13" x14ac:dyDescent="0.25">
      <c r="B91" s="416">
        <v>2033</v>
      </c>
      <c r="C91" s="142">
        <f>'Análisis Econ CCGT GT Sauz'!U20</f>
        <v>69561594.379298165</v>
      </c>
      <c r="D91" s="134"/>
      <c r="E91" s="181">
        <f t="shared" si="16"/>
        <v>791130057.04399562</v>
      </c>
      <c r="F91" s="199">
        <f t="shared" si="17"/>
        <v>69561594.379298165</v>
      </c>
      <c r="G91" s="143"/>
      <c r="H91" s="144"/>
      <c r="I91" s="122"/>
      <c r="J91" s="145"/>
      <c r="K91" s="134"/>
      <c r="L91" s="146">
        <f t="shared" si="23"/>
        <v>721297568.32673144</v>
      </c>
      <c r="M91" s="181">
        <f t="shared" si="20"/>
        <v>69561594.379298165</v>
      </c>
    </row>
    <row r="92" spans="2:13" x14ac:dyDescent="0.25">
      <c r="B92" s="635">
        <v>2034</v>
      </c>
      <c r="C92" s="661">
        <f>'Análisis Econ CCGT GT Sauz'!U21</f>
        <v>70438396.154031217</v>
      </c>
      <c r="D92" s="599"/>
      <c r="E92" s="667">
        <f t="shared" si="16"/>
        <v>861568453.1980269</v>
      </c>
      <c r="F92" s="662">
        <f t="shared" si="17"/>
        <v>70438396.154031217</v>
      </c>
      <c r="G92" s="597"/>
      <c r="H92" s="597"/>
      <c r="I92" s="597"/>
      <c r="J92" s="598"/>
      <c r="K92" s="599"/>
      <c r="L92" s="666">
        <f t="shared" si="23"/>
        <v>791735964.48076272</v>
      </c>
      <c r="M92" s="667">
        <f t="shared" si="20"/>
        <v>70438396.154031217</v>
      </c>
    </row>
    <row r="93" spans="2:13" x14ac:dyDescent="0.25">
      <c r="B93" s="182">
        <v>2035</v>
      </c>
      <c r="C93" s="148">
        <f>'Análisis Econ CCGT GT Sauz'!U22</f>
        <v>70404343.293058619</v>
      </c>
      <c r="D93" s="130"/>
      <c r="E93" s="183">
        <f t="shared" si="16"/>
        <v>931972796.49108553</v>
      </c>
      <c r="F93" s="200">
        <f t="shared" si="17"/>
        <v>70404343.293058619</v>
      </c>
      <c r="G93" s="138"/>
      <c r="H93" s="138"/>
      <c r="I93" s="138"/>
      <c r="J93" s="125"/>
      <c r="K93" s="130"/>
      <c r="L93" s="149">
        <f t="shared" si="23"/>
        <v>862140307.77382135</v>
      </c>
      <c r="M93" s="183">
        <f t="shared" si="20"/>
        <v>70404343.293058619</v>
      </c>
    </row>
    <row r="94" spans="2:13" x14ac:dyDescent="0.25">
      <c r="B94" s="184" t="s">
        <v>96</v>
      </c>
      <c r="C94" s="207">
        <f>NPV(E67,C77:C93)</f>
        <v>432911501.67248261</v>
      </c>
      <c r="D94" s="122"/>
      <c r="E94" s="186"/>
      <c r="F94" s="201"/>
      <c r="G94" s="122"/>
      <c r="H94" s="122"/>
      <c r="I94" s="122"/>
      <c r="J94" s="202" t="s">
        <v>96</v>
      </c>
      <c r="K94" s="122"/>
      <c r="L94" s="122"/>
      <c r="M94" s="203">
        <f>NPV(E67,M77:M93)</f>
        <v>319457187.25151902</v>
      </c>
    </row>
    <row r="95" spans="2:13" ht="15.75" thickBot="1" x14ac:dyDescent="0.3">
      <c r="B95" s="187" t="s">
        <v>95</v>
      </c>
      <c r="C95" s="208">
        <f>C94+D76</f>
        <v>282118546.73412949</v>
      </c>
      <c r="D95" s="189"/>
      <c r="E95" s="190"/>
      <c r="F95" s="204"/>
      <c r="G95" s="189"/>
      <c r="H95" s="189"/>
      <c r="I95" s="189"/>
      <c r="J95" s="205" t="s">
        <v>95</v>
      </c>
      <c r="K95" s="205"/>
      <c r="L95" s="205"/>
      <c r="M95" s="209">
        <f>M94+K76</f>
        <v>299627913.67712557</v>
      </c>
    </row>
  </sheetData>
  <mergeCells count="31">
    <mergeCell ref="M37:M38"/>
    <mergeCell ref="B67:B69"/>
    <mergeCell ref="C67:C70"/>
    <mergeCell ref="D67:D68"/>
    <mergeCell ref="E67:E68"/>
    <mergeCell ref="F67:F68"/>
    <mergeCell ref="K67:K70"/>
    <mergeCell ref="E69:E70"/>
    <mergeCell ref="L69:L70"/>
    <mergeCell ref="M69:M70"/>
    <mergeCell ref="E35:E36"/>
    <mergeCell ref="F35:F36"/>
    <mergeCell ref="K35:K38"/>
    <mergeCell ref="E37:E38"/>
    <mergeCell ref="L37:L38"/>
    <mergeCell ref="B2:M2"/>
    <mergeCell ref="B66:M66"/>
    <mergeCell ref="L5:L6"/>
    <mergeCell ref="M5:M6"/>
    <mergeCell ref="B3:B5"/>
    <mergeCell ref="C3:C6"/>
    <mergeCell ref="D3:D4"/>
    <mergeCell ref="E3:E4"/>
    <mergeCell ref="F3:F4"/>
    <mergeCell ref="K3:K6"/>
    <mergeCell ref="E5:E6"/>
    <mergeCell ref="B34:E34"/>
    <mergeCell ref="F34:M34"/>
    <mergeCell ref="B35:B37"/>
    <mergeCell ref="C35:C38"/>
    <mergeCell ref="D35:D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34"/>
  <sheetViews>
    <sheetView workbookViewId="0">
      <selection activeCell="E35" sqref="E35"/>
    </sheetView>
  </sheetViews>
  <sheetFormatPr baseColWidth="10" defaultRowHeight="15" x14ac:dyDescent="0.25"/>
  <cols>
    <col min="2" max="2" width="17.42578125" customWidth="1"/>
    <col min="3" max="3" width="12.5703125" customWidth="1"/>
    <col min="5" max="5" width="12.140625" bestFit="1" customWidth="1"/>
    <col min="6" max="6" width="20.28515625" bestFit="1" customWidth="1"/>
    <col min="7" max="7" width="13.85546875" customWidth="1"/>
    <col min="8" max="8" width="16.5703125" customWidth="1"/>
    <col min="9" max="9" width="14.85546875" customWidth="1"/>
    <col min="10" max="10" width="19.28515625" customWidth="1"/>
    <col min="11" max="11" width="16.140625" customWidth="1"/>
    <col min="12" max="12" width="12.140625" bestFit="1" customWidth="1"/>
    <col min="14" max="14" width="13.28515625" bestFit="1" customWidth="1"/>
  </cols>
  <sheetData>
    <row r="1" spans="2:14" x14ac:dyDescent="0.25">
      <c r="F1" s="152" t="s">
        <v>98</v>
      </c>
      <c r="G1" s="152" t="s">
        <v>103</v>
      </c>
      <c r="H1" s="152" t="s">
        <v>104</v>
      </c>
      <c r="I1" s="152" t="s">
        <v>109</v>
      </c>
      <c r="J1" s="152" t="s">
        <v>105</v>
      </c>
      <c r="K1" s="152" t="s">
        <v>106</v>
      </c>
      <c r="L1" s="152" t="s">
        <v>110</v>
      </c>
      <c r="M1" s="152" t="s">
        <v>111</v>
      </c>
      <c r="N1" s="152" t="s">
        <v>112</v>
      </c>
    </row>
    <row r="2" spans="2:14" x14ac:dyDescent="0.25">
      <c r="F2" s="156">
        <v>40148</v>
      </c>
      <c r="L2">
        <v>32120.47</v>
      </c>
    </row>
    <row r="3" spans="2:14" x14ac:dyDescent="0.25">
      <c r="F3" s="156">
        <v>40513</v>
      </c>
      <c r="G3" s="154">
        <v>2.1299999999999999E-2</v>
      </c>
      <c r="H3" s="154">
        <v>1.4999999999999999E-2</v>
      </c>
      <c r="I3" s="154">
        <v>4.4000000000000004E-2</v>
      </c>
      <c r="J3" s="155">
        <v>3.288E-2</v>
      </c>
      <c r="K3" s="154">
        <f>(1+J3)/(1+H3)-1</f>
        <v>1.7615763546798169E-2</v>
      </c>
      <c r="L3" s="157">
        <v>38550.79</v>
      </c>
      <c r="M3" s="154">
        <f>(L3-L2)/L2</f>
        <v>0.20019383278015543</v>
      </c>
      <c r="N3" s="154">
        <f t="shared" ref="N3:N10" si="0">(1+M3)/(1+I3)-1</f>
        <v>0.14961095093884613</v>
      </c>
    </row>
    <row r="4" spans="2:14" x14ac:dyDescent="0.25">
      <c r="F4" s="156">
        <v>40878</v>
      </c>
      <c r="G4" s="154">
        <v>5.0599999999999999E-2</v>
      </c>
      <c r="H4" s="154">
        <v>2.9600000000000001E-2</v>
      </c>
      <c r="I4" s="154">
        <v>3.8199999999999998E-2</v>
      </c>
      <c r="J4" s="155">
        <v>1.8759999999999999E-2</v>
      </c>
      <c r="K4" s="154">
        <f t="shared" ref="K4:K10" si="1">(1+J4)/(1+H4)-1</f>
        <v>-1.0528360528360703E-2</v>
      </c>
      <c r="L4" s="157">
        <v>37077.519999999997</v>
      </c>
      <c r="M4" s="154">
        <f t="shared" ref="M4:M10" si="2">(L4-L3)/L3</f>
        <v>-3.8216337460270047E-2</v>
      </c>
      <c r="N4" s="154">
        <f t="shared" si="0"/>
        <v>-7.3604640204459781E-2</v>
      </c>
    </row>
    <row r="5" spans="2:14" x14ac:dyDescent="0.25">
      <c r="B5" t="s">
        <v>98</v>
      </c>
      <c r="C5" s="152" t="s">
        <v>100</v>
      </c>
      <c r="F5" s="156">
        <v>41244</v>
      </c>
      <c r="G5" s="155">
        <v>7.7999999999999996E-3</v>
      </c>
      <c r="H5" s="155">
        <v>1.7399999999999999E-2</v>
      </c>
      <c r="I5" s="154">
        <v>3.5699999999999996E-2</v>
      </c>
      <c r="J5" s="155">
        <v>1.7559999999999999E-2</v>
      </c>
      <c r="K5" s="154">
        <f t="shared" si="1"/>
        <v>1.5726361313150861E-4</v>
      </c>
      <c r="L5" s="157">
        <v>43705.83</v>
      </c>
      <c r="M5" s="154">
        <f t="shared" si="2"/>
        <v>0.17876896836681649</v>
      </c>
      <c r="N5" s="154">
        <f t="shared" si="0"/>
        <v>0.1381374610088022</v>
      </c>
    </row>
    <row r="6" spans="2:14" x14ac:dyDescent="0.25">
      <c r="B6" s="151">
        <v>43126</v>
      </c>
      <c r="C6">
        <v>346</v>
      </c>
      <c r="F6" s="156">
        <v>41609</v>
      </c>
      <c r="G6" s="155">
        <v>7.9000000000000008E-3</v>
      </c>
      <c r="H6" s="155">
        <v>1.4999999999999999E-2</v>
      </c>
      <c r="I6" s="154">
        <v>3.9699999999999999E-2</v>
      </c>
      <c r="J6" s="155">
        <v>3.0259999999999999E-2</v>
      </c>
      <c r="K6" s="154">
        <f t="shared" si="1"/>
        <v>1.5034482758620848E-2</v>
      </c>
      <c r="L6" s="157">
        <v>42727.09</v>
      </c>
      <c r="M6" s="154">
        <f t="shared" si="2"/>
        <v>-2.2393808789353851E-2</v>
      </c>
      <c r="N6" s="154">
        <f t="shared" si="0"/>
        <v>-5.9722813108929351E-2</v>
      </c>
    </row>
    <row r="7" spans="2:14" x14ac:dyDescent="0.25">
      <c r="B7" s="151">
        <v>43157</v>
      </c>
      <c r="C7">
        <v>382</v>
      </c>
      <c r="F7" s="156">
        <v>41974</v>
      </c>
      <c r="G7" s="155">
        <v>4.7000000000000002E-3</v>
      </c>
      <c r="H7" s="155">
        <v>7.6E-3</v>
      </c>
      <c r="I7" s="154">
        <v>4.0800000000000003E-2</v>
      </c>
      <c r="J7" s="155">
        <v>2.1700000000000001E-2</v>
      </c>
      <c r="K7" s="154">
        <f t="shared" si="1"/>
        <v>1.3993648273124215E-2</v>
      </c>
      <c r="L7" s="157">
        <v>43145.66</v>
      </c>
      <c r="M7" s="154">
        <f t="shared" si="2"/>
        <v>9.7963610440122886E-3</v>
      </c>
      <c r="N7" s="154">
        <f t="shared" si="0"/>
        <v>-2.9788277244415462E-2</v>
      </c>
    </row>
    <row r="8" spans="2:14" x14ac:dyDescent="0.25">
      <c r="B8" s="151">
        <v>43186</v>
      </c>
      <c r="C8">
        <v>381</v>
      </c>
      <c r="F8" s="156">
        <v>42339</v>
      </c>
      <c r="G8" s="155">
        <v>1.0200000000000001E-2</v>
      </c>
      <c r="H8" s="155">
        <v>7.3000000000000001E-3</v>
      </c>
      <c r="I8" s="154">
        <v>2.1299999999999999E-2</v>
      </c>
      <c r="J8" s="155">
        <v>2.2689999999999998E-2</v>
      </c>
      <c r="K8" s="154">
        <f t="shared" si="1"/>
        <v>1.5278467189516531E-2</v>
      </c>
      <c r="L8" s="157">
        <v>42977.5</v>
      </c>
      <c r="M8" s="154">
        <f t="shared" si="2"/>
        <v>-3.8974951362432159E-3</v>
      </c>
      <c r="N8" s="154">
        <f t="shared" si="0"/>
        <v>-2.4671981921319253E-2</v>
      </c>
    </row>
    <row r="9" spans="2:14" x14ac:dyDescent="0.25">
      <c r="B9" s="151">
        <v>43214</v>
      </c>
      <c r="C9">
        <v>369</v>
      </c>
      <c r="F9" s="156">
        <v>42705</v>
      </c>
      <c r="G9" s="155">
        <v>-9.4000000000000004E-3</v>
      </c>
      <c r="H9" s="155">
        <v>2.07E-2</v>
      </c>
      <c r="I9" s="154">
        <v>3.3599999999999998E-2</v>
      </c>
      <c r="J9" s="155">
        <v>2.4459999999999999E-2</v>
      </c>
      <c r="K9" s="154">
        <f t="shared" si="1"/>
        <v>3.6837464485157678E-3</v>
      </c>
      <c r="L9" s="157">
        <v>45692.9</v>
      </c>
      <c r="M9" s="154">
        <f t="shared" si="2"/>
        <v>6.31818975045082E-2</v>
      </c>
      <c r="N9" s="154">
        <f t="shared" si="0"/>
        <v>2.8620256873556515E-2</v>
      </c>
    </row>
    <row r="10" spans="2:14" x14ac:dyDescent="0.25">
      <c r="B10" s="151">
        <v>43245</v>
      </c>
      <c r="C10">
        <v>413</v>
      </c>
      <c r="F10" s="156">
        <v>43070</v>
      </c>
      <c r="G10" s="155">
        <v>2.0400000000000001E-2</v>
      </c>
      <c r="H10" s="155">
        <v>2.1100000000000001E-2</v>
      </c>
      <c r="I10" s="154">
        <v>6.7699999999999996E-2</v>
      </c>
      <c r="J10" s="155">
        <v>2.4049999999999998E-2</v>
      </c>
      <c r="K10" s="154">
        <f t="shared" si="1"/>
        <v>2.8890412300459634E-3</v>
      </c>
      <c r="L10" s="157">
        <v>49354.42</v>
      </c>
      <c r="M10" s="154">
        <f t="shared" si="2"/>
        <v>8.0133237330088411E-2</v>
      </c>
      <c r="N10" s="154">
        <f t="shared" si="0"/>
        <v>1.1644879020406895E-2</v>
      </c>
    </row>
    <row r="11" spans="2:14" x14ac:dyDescent="0.25">
      <c r="B11" s="151">
        <v>43277</v>
      </c>
      <c r="C11">
        <v>444</v>
      </c>
    </row>
    <row r="12" spans="2:14" x14ac:dyDescent="0.25">
      <c r="B12" s="151">
        <v>43305</v>
      </c>
      <c r="C12">
        <v>404</v>
      </c>
    </row>
    <row r="13" spans="2:14" x14ac:dyDescent="0.25">
      <c r="B13" t="s">
        <v>99</v>
      </c>
      <c r="C13" s="153">
        <f>TRUNC(AVERAGE(C6:C12),0)</f>
        <v>391</v>
      </c>
    </row>
    <row r="14" spans="2:14" x14ac:dyDescent="0.25">
      <c r="C14" s="153"/>
    </row>
    <row r="15" spans="2:14" x14ac:dyDescent="0.25">
      <c r="E15" t="s">
        <v>102</v>
      </c>
    </row>
    <row r="16" spans="2:14" x14ac:dyDescent="0.25">
      <c r="B16" t="s">
        <v>101</v>
      </c>
      <c r="E16" s="154">
        <f>C13/10000</f>
        <v>3.9100000000000003E-2</v>
      </c>
    </row>
    <row r="17" spans="2:6" x14ac:dyDescent="0.25">
      <c r="B17" t="s">
        <v>107</v>
      </c>
      <c r="E17" s="155">
        <f>AVERAGE(K3:K10)</f>
        <v>7.2655065664240376E-3</v>
      </c>
    </row>
    <row r="18" spans="2:6" x14ac:dyDescent="0.25">
      <c r="B18" t="s">
        <v>108</v>
      </c>
      <c r="E18" s="155">
        <f>AVERAGE(N3:N10)</f>
        <v>1.7528229420310987E-2</v>
      </c>
    </row>
    <row r="19" spans="2:6" x14ac:dyDescent="0.25">
      <c r="B19" t="s">
        <v>113</v>
      </c>
      <c r="E19">
        <v>1.2</v>
      </c>
    </row>
    <row r="20" spans="2:6" x14ac:dyDescent="0.25">
      <c r="B20" t="s">
        <v>114</v>
      </c>
      <c r="E20" s="154">
        <f>E17+E16+E19*(E18-E17)</f>
        <v>5.8680773991088377E-2</v>
      </c>
    </row>
    <row r="26" spans="2:6" x14ac:dyDescent="0.25">
      <c r="F26" s="213">
        <v>0.14000000000000001</v>
      </c>
    </row>
    <row r="28" spans="2:6" x14ac:dyDescent="0.25">
      <c r="E28">
        <v>0</v>
      </c>
      <c r="F28">
        <v>-38000</v>
      </c>
    </row>
    <row r="29" spans="2:6" x14ac:dyDescent="0.25">
      <c r="E29">
        <v>1</v>
      </c>
      <c r="F29">
        <v>17000</v>
      </c>
    </row>
    <row r="30" spans="2:6" x14ac:dyDescent="0.25">
      <c r="E30">
        <v>2</v>
      </c>
      <c r="F30">
        <v>14000</v>
      </c>
    </row>
    <row r="31" spans="2:6" x14ac:dyDescent="0.25">
      <c r="E31">
        <v>3</v>
      </c>
      <c r="F31">
        <v>13000</v>
      </c>
    </row>
    <row r="32" spans="2:6" x14ac:dyDescent="0.25">
      <c r="E32">
        <v>4</v>
      </c>
      <c r="F32">
        <v>19000</v>
      </c>
    </row>
    <row r="33" spans="5:6" x14ac:dyDescent="0.25">
      <c r="E33">
        <v>5</v>
      </c>
      <c r="F33">
        <v>11000</v>
      </c>
    </row>
    <row r="34" spans="5:6" x14ac:dyDescent="0.25">
      <c r="E34" t="s">
        <v>94</v>
      </c>
      <c r="F34" s="293">
        <f>NPV(F26,F29:F33)</f>
        <v>51422.036388956338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78"/>
  <sheetViews>
    <sheetView topLeftCell="A301" zoomScale="90" zoomScaleNormal="90" workbookViewId="0">
      <selection activeCell="D120" sqref="D120"/>
    </sheetView>
  </sheetViews>
  <sheetFormatPr baseColWidth="10" defaultRowHeight="15" x14ac:dyDescent="0.25"/>
  <sheetData>
    <row r="1" spans="1:25" x14ac:dyDescent="0.25">
      <c r="O1" s="431" t="s">
        <v>193</v>
      </c>
      <c r="P1" s="432">
        <f>D55</f>
        <v>109.54</v>
      </c>
      <c r="Q1" s="433" t="s">
        <v>194</v>
      </c>
      <c r="R1" s="432">
        <f>K55</f>
        <v>232.773</v>
      </c>
      <c r="S1" s="433" t="s">
        <v>195</v>
      </c>
      <c r="T1" s="434"/>
      <c r="U1" s="435">
        <v>45.08</v>
      </c>
      <c r="V1">
        <v>51.55</v>
      </c>
      <c r="W1">
        <v>54.18</v>
      </c>
      <c r="X1" s="436">
        <v>45.08</v>
      </c>
    </row>
    <row r="2" spans="1:25" ht="15.75" thickBot="1" x14ac:dyDescent="0.3">
      <c r="O2" s="433" t="s">
        <v>196</v>
      </c>
      <c r="P2" s="434"/>
      <c r="Q2" s="437">
        <f>'Análisis Econ CCGT GT Sauz'!E9</f>
        <v>8068</v>
      </c>
      <c r="R2" s="433" t="s">
        <v>197</v>
      </c>
      <c r="S2" s="438">
        <f>'Análisis Econ CCGT GT Sauz'!C24</f>
        <v>4.5180788853938365</v>
      </c>
      <c r="T2" s="439"/>
      <c r="U2" s="269"/>
    </row>
    <row r="3" spans="1:25" ht="15.75" thickBot="1" x14ac:dyDescent="0.3">
      <c r="A3" s="886" t="s">
        <v>198</v>
      </c>
      <c r="B3" s="887"/>
      <c r="C3" s="887"/>
      <c r="D3" s="887"/>
      <c r="E3" s="887"/>
      <c r="F3" s="888"/>
      <c r="H3" s="886" t="s">
        <v>199</v>
      </c>
      <c r="I3" s="887"/>
      <c r="J3" s="887"/>
      <c r="K3" s="887"/>
      <c r="L3" s="887"/>
      <c r="M3" s="888"/>
    </row>
    <row r="4" spans="1:25" ht="15.75" thickBot="1" x14ac:dyDescent="0.3">
      <c r="A4" s="298" t="s">
        <v>200</v>
      </c>
      <c r="B4" s="116" t="s">
        <v>7</v>
      </c>
      <c r="C4" s="116" t="s">
        <v>201</v>
      </c>
      <c r="D4" s="116" t="s">
        <v>110</v>
      </c>
      <c r="E4" s="116" t="s">
        <v>202</v>
      </c>
      <c r="F4" s="440" t="s">
        <v>203</v>
      </c>
      <c r="H4" s="298" t="s">
        <v>200</v>
      </c>
      <c r="I4" s="116" t="s">
        <v>7</v>
      </c>
      <c r="J4" s="116" t="s">
        <v>201</v>
      </c>
      <c r="K4" s="116" t="s">
        <v>194</v>
      </c>
      <c r="L4" s="116" t="s">
        <v>202</v>
      </c>
      <c r="M4" s="440" t="s">
        <v>203</v>
      </c>
      <c r="O4" s="441" t="s">
        <v>204</v>
      </c>
      <c r="P4" s="442" t="s">
        <v>205</v>
      </c>
      <c r="Q4" s="442" t="s">
        <v>206</v>
      </c>
      <c r="R4" s="442" t="s">
        <v>207</v>
      </c>
      <c r="S4" s="442" t="s">
        <v>208</v>
      </c>
      <c r="T4" s="443" t="s">
        <v>209</v>
      </c>
      <c r="W4" s="441" t="s">
        <v>204</v>
      </c>
      <c r="X4" s="443" t="s">
        <v>210</v>
      </c>
    </row>
    <row r="5" spans="1:25" x14ac:dyDescent="0.25">
      <c r="A5" s="298" t="s">
        <v>211</v>
      </c>
      <c r="B5" s="116">
        <v>2009</v>
      </c>
      <c r="C5" s="116">
        <v>1</v>
      </c>
      <c r="D5" s="116">
        <v>99.81</v>
      </c>
      <c r="E5" s="116"/>
      <c r="F5" s="440">
        <v>99.81</v>
      </c>
      <c r="H5" s="298" t="s">
        <v>211</v>
      </c>
      <c r="I5" s="116">
        <v>2009</v>
      </c>
      <c r="J5" s="116">
        <v>1</v>
      </c>
      <c r="K5" s="444">
        <v>211.143</v>
      </c>
      <c r="L5" s="444"/>
      <c r="M5" s="445">
        <v>211.143</v>
      </c>
      <c r="N5" s="446"/>
      <c r="O5" s="885">
        <v>1</v>
      </c>
      <c r="P5" s="444">
        <v>1</v>
      </c>
      <c r="Q5" s="444">
        <f>$Q$2*R5*1000+$S$2*S5/$P$1+$U$1*T5/$R$1</f>
        <v>119.98889437555685</v>
      </c>
      <c r="R5" s="444">
        <f>'Análisis Econ CCGT Nuevo'!G26</f>
        <v>8.2080952199999994E-6</v>
      </c>
      <c r="S5" s="447">
        <f>$D$123</f>
        <v>112.89504265944613</v>
      </c>
      <c r="T5" s="448">
        <f>$K$123</f>
        <v>253.57965011111506</v>
      </c>
      <c r="U5" s="446"/>
      <c r="V5" s="446"/>
      <c r="W5" s="449">
        <v>1</v>
      </c>
      <c r="X5" s="450">
        <f>AVERAGE(Q5:Q16)</f>
        <v>119.98889437555682</v>
      </c>
    </row>
    <row r="6" spans="1:25" x14ac:dyDescent="0.25">
      <c r="A6" s="298" t="s">
        <v>212</v>
      </c>
      <c r="B6" s="116">
        <v>2009</v>
      </c>
      <c r="C6" s="116">
        <v>2</v>
      </c>
      <c r="D6" s="116">
        <v>99.95</v>
      </c>
      <c r="E6" s="116">
        <f>(D6-D5)/D5</f>
        <v>1.4026650636208852E-3</v>
      </c>
      <c r="F6" s="440">
        <v>99.95</v>
      </c>
      <c r="H6" s="298" t="s">
        <v>212</v>
      </c>
      <c r="I6" s="116">
        <v>2009</v>
      </c>
      <c r="J6" s="116">
        <v>2</v>
      </c>
      <c r="K6" s="444">
        <v>212.19300000000001</v>
      </c>
      <c r="L6" s="116">
        <f>(K6-K5)/K5</f>
        <v>4.9729330359046305E-3</v>
      </c>
      <c r="M6" s="445">
        <v>212.19300000000001</v>
      </c>
      <c r="O6" s="885"/>
      <c r="P6" s="444">
        <v>2</v>
      </c>
      <c r="Q6" s="444">
        <f t="shared" ref="Q6:Q69" si="0">$Q$2*R6*1000+$S$2*S6/$P$1+$U$1*T6/$R$1</f>
        <v>119.98889437555685</v>
      </c>
      <c r="R6" s="116">
        <f>R5</f>
        <v>8.2080952199999994E-6</v>
      </c>
      <c r="S6" s="447">
        <f t="shared" ref="S6:S16" si="1">$D$123</f>
        <v>112.89504265944613</v>
      </c>
      <c r="T6" s="448">
        <f t="shared" ref="T6:T16" si="2">$K$123</f>
        <v>253.57965011111506</v>
      </c>
      <c r="W6" s="298">
        <v>2</v>
      </c>
      <c r="X6" s="450">
        <f>AVERAGE(Q17:Q28)</f>
        <v>125.10329582258625</v>
      </c>
      <c r="Y6" s="154"/>
    </row>
    <row r="7" spans="1:25" x14ac:dyDescent="0.25">
      <c r="A7" s="298" t="s">
        <v>213</v>
      </c>
      <c r="B7" s="116">
        <v>2009</v>
      </c>
      <c r="C7" s="116">
        <v>3</v>
      </c>
      <c r="D7" s="116">
        <v>100.72</v>
      </c>
      <c r="E7" s="116">
        <f t="shared" ref="E7:E70" si="3">(D7-D6)/D6</f>
        <v>7.7038519259629411E-3</v>
      </c>
      <c r="F7" s="440">
        <v>100.72</v>
      </c>
      <c r="H7" s="298" t="s">
        <v>213</v>
      </c>
      <c r="I7" s="116">
        <v>2009</v>
      </c>
      <c r="J7" s="116">
        <v>3</v>
      </c>
      <c r="K7" s="444">
        <v>212.709</v>
      </c>
      <c r="L7" s="116">
        <f t="shared" ref="L7:L70" si="4">(K7-K6)/K6</f>
        <v>2.4317484554155469E-3</v>
      </c>
      <c r="M7" s="445">
        <v>212.709</v>
      </c>
      <c r="O7" s="885"/>
      <c r="P7" s="444">
        <v>3</v>
      </c>
      <c r="Q7" s="444">
        <f t="shared" si="0"/>
        <v>119.98889437555685</v>
      </c>
      <c r="R7" s="116">
        <f t="shared" ref="R7:R16" si="5">R6</f>
        <v>8.2080952199999994E-6</v>
      </c>
      <c r="S7" s="447">
        <f t="shared" si="1"/>
        <v>112.89504265944613</v>
      </c>
      <c r="T7" s="448">
        <f t="shared" si="2"/>
        <v>253.57965011111506</v>
      </c>
      <c r="W7" s="298">
        <v>3</v>
      </c>
      <c r="X7" s="450">
        <f>AVERAGE(Q29:Q40)</f>
        <v>129.24179456469534</v>
      </c>
      <c r="Y7" s="154"/>
    </row>
    <row r="8" spans="1:25" x14ac:dyDescent="0.25">
      <c r="A8" s="298" t="s">
        <v>214</v>
      </c>
      <c r="B8" s="116">
        <v>2009</v>
      </c>
      <c r="C8" s="116">
        <v>4</v>
      </c>
      <c r="D8" s="116">
        <v>100.55</v>
      </c>
      <c r="E8" s="116">
        <f t="shared" si="3"/>
        <v>-1.6878474980143139E-3</v>
      </c>
      <c r="F8" s="440">
        <v>100.55</v>
      </c>
      <c r="H8" s="298" t="s">
        <v>214</v>
      </c>
      <c r="I8" s="116">
        <v>2009</v>
      </c>
      <c r="J8" s="116">
        <v>4</v>
      </c>
      <c r="K8" s="444">
        <v>213.24</v>
      </c>
      <c r="L8" s="116">
        <f t="shared" si="4"/>
        <v>2.4963682777879915E-3</v>
      </c>
      <c r="M8" s="445">
        <v>213.24</v>
      </c>
      <c r="O8" s="885"/>
      <c r="P8" s="444">
        <v>4</v>
      </c>
      <c r="Q8" s="444">
        <f t="shared" si="0"/>
        <v>119.98889437555685</v>
      </c>
      <c r="R8" s="116">
        <f t="shared" si="5"/>
        <v>8.2080952199999994E-6</v>
      </c>
      <c r="S8" s="447">
        <f t="shared" si="1"/>
        <v>112.89504265944613</v>
      </c>
      <c r="T8" s="448">
        <f t="shared" si="2"/>
        <v>253.57965011111506</v>
      </c>
      <c r="W8" s="298">
        <v>4</v>
      </c>
      <c r="X8" s="450">
        <f>AVERAGE(Q41:Q52)</f>
        <v>132.71060867541092</v>
      </c>
      <c r="Y8" s="154"/>
    </row>
    <row r="9" spans="1:25" x14ac:dyDescent="0.25">
      <c r="A9" s="298" t="s">
        <v>215</v>
      </c>
      <c r="B9" s="116">
        <v>2009</v>
      </c>
      <c r="C9" s="116">
        <v>5</v>
      </c>
      <c r="D9" s="116">
        <v>100.61</v>
      </c>
      <c r="E9" s="116">
        <f t="shared" si="3"/>
        <v>5.967180507210569E-4</v>
      </c>
      <c r="F9" s="440">
        <v>100.61</v>
      </c>
      <c r="H9" s="298" t="s">
        <v>215</v>
      </c>
      <c r="I9" s="116">
        <v>2009</v>
      </c>
      <c r="J9" s="116">
        <v>5</v>
      </c>
      <c r="K9" s="444">
        <v>213.85599999999999</v>
      </c>
      <c r="L9" s="116">
        <f t="shared" si="4"/>
        <v>2.8887638341773842E-3</v>
      </c>
      <c r="M9" s="445">
        <v>213.85599999999999</v>
      </c>
      <c r="O9" s="885"/>
      <c r="P9" s="444">
        <v>5</v>
      </c>
      <c r="Q9" s="444">
        <f t="shared" si="0"/>
        <v>119.98889437555685</v>
      </c>
      <c r="R9" s="116">
        <f t="shared" si="5"/>
        <v>8.2080952199999994E-6</v>
      </c>
      <c r="S9" s="447">
        <f t="shared" si="1"/>
        <v>112.89504265944613</v>
      </c>
      <c r="T9" s="448">
        <f t="shared" si="2"/>
        <v>253.57965011111506</v>
      </c>
      <c r="W9" s="449">
        <v>5</v>
      </c>
      <c r="X9" s="450">
        <f>AVERAGE(Q53:Q64)</f>
        <v>135.20420354729086</v>
      </c>
      <c r="Y9" s="154"/>
    </row>
    <row r="10" spans="1:25" x14ac:dyDescent="0.25">
      <c r="A10" s="298" t="s">
        <v>216</v>
      </c>
      <c r="B10" s="116">
        <v>2009</v>
      </c>
      <c r="C10" s="116">
        <v>6</v>
      </c>
      <c r="D10" s="116">
        <v>100.79</v>
      </c>
      <c r="E10" s="116">
        <f t="shared" si="3"/>
        <v>1.7890865719114087E-3</v>
      </c>
      <c r="F10" s="440">
        <v>100.79</v>
      </c>
      <c r="H10" s="298" t="s">
        <v>216</v>
      </c>
      <c r="I10" s="116">
        <v>2009</v>
      </c>
      <c r="J10" s="116">
        <v>6</v>
      </c>
      <c r="K10" s="444">
        <v>215.69300000000001</v>
      </c>
      <c r="L10" s="116">
        <f t="shared" si="4"/>
        <v>8.5898922639533956E-3</v>
      </c>
      <c r="M10" s="445">
        <v>215.69300000000001</v>
      </c>
      <c r="O10" s="885"/>
      <c r="P10" s="444">
        <v>6</v>
      </c>
      <c r="Q10" s="444">
        <f t="shared" si="0"/>
        <v>119.98889437555685</v>
      </c>
      <c r="R10" s="116">
        <f t="shared" si="5"/>
        <v>8.2080952199999994E-6</v>
      </c>
      <c r="S10" s="447">
        <f t="shared" si="1"/>
        <v>112.89504265944613</v>
      </c>
      <c r="T10" s="448">
        <f t="shared" si="2"/>
        <v>253.57965011111506</v>
      </c>
      <c r="W10" s="298">
        <v>6</v>
      </c>
      <c r="X10" s="450">
        <f>AVERAGE(Q65:Q76)</f>
        <v>137.64056902381864</v>
      </c>
      <c r="Y10" s="154"/>
    </row>
    <row r="11" spans="1:25" x14ac:dyDescent="0.25">
      <c r="A11" s="298" t="s">
        <v>217</v>
      </c>
      <c r="B11" s="116">
        <v>2009</v>
      </c>
      <c r="C11" s="116">
        <v>7</v>
      </c>
      <c r="D11" s="116">
        <v>100.63</v>
      </c>
      <c r="E11" s="116">
        <f t="shared" si="3"/>
        <v>-1.5874590733208731E-3</v>
      </c>
      <c r="F11" s="440">
        <v>100.63</v>
      </c>
      <c r="H11" s="298" t="s">
        <v>217</v>
      </c>
      <c r="I11" s="116">
        <v>2009</v>
      </c>
      <c r="J11" s="116">
        <v>7</v>
      </c>
      <c r="K11" s="444">
        <v>215.351</v>
      </c>
      <c r="L11" s="116">
        <f t="shared" si="4"/>
        <v>-1.5855869221533055E-3</v>
      </c>
      <c r="M11" s="445">
        <v>215.351</v>
      </c>
      <c r="O11" s="885"/>
      <c r="P11" s="444">
        <v>7</v>
      </c>
      <c r="Q11" s="444">
        <f t="shared" si="0"/>
        <v>119.98889437555685</v>
      </c>
      <c r="R11" s="116">
        <f t="shared" si="5"/>
        <v>8.2080952199999994E-6</v>
      </c>
      <c r="S11" s="447">
        <f t="shared" si="1"/>
        <v>112.89504265944613</v>
      </c>
      <c r="T11" s="448">
        <f t="shared" si="2"/>
        <v>253.57965011111506</v>
      </c>
      <c r="W11" s="298">
        <v>7</v>
      </c>
      <c r="X11" s="450">
        <f>AVERAGE(Q77:Q88)</f>
        <v>141.09064126224078</v>
      </c>
      <c r="Y11" s="154"/>
    </row>
    <row r="12" spans="1:25" x14ac:dyDescent="0.25">
      <c r="A12" s="298" t="s">
        <v>218</v>
      </c>
      <c r="B12" s="116">
        <v>2009</v>
      </c>
      <c r="C12" s="116">
        <v>8</v>
      </c>
      <c r="D12" s="116">
        <v>100.4</v>
      </c>
      <c r="E12" s="116">
        <f t="shared" si="3"/>
        <v>-2.2856007154922965E-3</v>
      </c>
      <c r="F12" s="440">
        <v>100.4</v>
      </c>
      <c r="H12" s="298" t="s">
        <v>218</v>
      </c>
      <c r="I12" s="116">
        <v>2009</v>
      </c>
      <c r="J12" s="116">
        <v>8</v>
      </c>
      <c r="K12" s="444">
        <v>215.834</v>
      </c>
      <c r="L12" s="116">
        <f t="shared" si="4"/>
        <v>2.2428500448105843E-3</v>
      </c>
      <c r="M12" s="445">
        <v>215.834</v>
      </c>
      <c r="O12" s="885"/>
      <c r="P12" s="444">
        <v>8</v>
      </c>
      <c r="Q12" s="444">
        <f t="shared" si="0"/>
        <v>119.98889437555685</v>
      </c>
      <c r="R12" s="116">
        <f t="shared" si="5"/>
        <v>8.2080952199999994E-6</v>
      </c>
      <c r="S12" s="447">
        <f t="shared" si="1"/>
        <v>112.89504265944613</v>
      </c>
      <c r="T12" s="448">
        <f t="shared" si="2"/>
        <v>253.57965011111506</v>
      </c>
      <c r="W12" s="298">
        <v>8</v>
      </c>
      <c r="X12" s="450">
        <f>AVERAGE(Q89:Q100)</f>
        <v>144.33126683858973</v>
      </c>
      <c r="Y12" s="154"/>
    </row>
    <row r="13" spans="1:25" x14ac:dyDescent="0.25">
      <c r="A13" s="298" t="s">
        <v>219</v>
      </c>
      <c r="B13" s="116">
        <v>2009</v>
      </c>
      <c r="C13" s="116">
        <v>9</v>
      </c>
      <c r="D13" s="116">
        <v>100.2</v>
      </c>
      <c r="E13" s="116">
        <f t="shared" si="3"/>
        <v>-1.9920318725099883E-3</v>
      </c>
      <c r="F13" s="440">
        <v>100.2</v>
      </c>
      <c r="H13" s="298" t="s">
        <v>219</v>
      </c>
      <c r="I13" s="116">
        <v>2009</v>
      </c>
      <c r="J13" s="116">
        <v>9</v>
      </c>
      <c r="K13" s="444">
        <v>215.96899999999999</v>
      </c>
      <c r="L13" s="116">
        <f t="shared" si="4"/>
        <v>6.2548069349588527E-4</v>
      </c>
      <c r="M13" s="445">
        <v>215.96899999999999</v>
      </c>
      <c r="O13" s="885"/>
      <c r="P13" s="444">
        <v>9</v>
      </c>
      <c r="Q13" s="444">
        <f t="shared" si="0"/>
        <v>119.98889437555685</v>
      </c>
      <c r="R13" s="116">
        <f t="shared" si="5"/>
        <v>8.2080952199999994E-6</v>
      </c>
      <c r="S13" s="447">
        <f t="shared" si="1"/>
        <v>112.89504265944613</v>
      </c>
      <c r="T13" s="448">
        <f t="shared" si="2"/>
        <v>253.57965011111506</v>
      </c>
      <c r="W13" s="449">
        <v>9</v>
      </c>
      <c r="X13" s="450">
        <f>AVERAGE(Q101:Q112)</f>
        <v>146.92177465099053</v>
      </c>
      <c r="Y13" s="154"/>
    </row>
    <row r="14" spans="1:25" x14ac:dyDescent="0.25">
      <c r="A14" s="298" t="s">
        <v>220</v>
      </c>
      <c r="B14" s="116">
        <v>2009</v>
      </c>
      <c r="C14" s="116">
        <v>10</v>
      </c>
      <c r="D14" s="116">
        <v>99.46</v>
      </c>
      <c r="E14" s="116">
        <f t="shared" si="3"/>
        <v>-7.3852295409182539E-3</v>
      </c>
      <c r="F14" s="440">
        <v>99.46</v>
      </c>
      <c r="H14" s="298" t="s">
        <v>220</v>
      </c>
      <c r="I14" s="116">
        <v>2009</v>
      </c>
      <c r="J14" s="116">
        <v>10</v>
      </c>
      <c r="K14" s="444">
        <v>216.17699999999999</v>
      </c>
      <c r="L14" s="116">
        <f t="shared" si="4"/>
        <v>9.6310118581832769E-4</v>
      </c>
      <c r="M14" s="445">
        <v>216.17699999999999</v>
      </c>
      <c r="O14" s="885"/>
      <c r="P14" s="444">
        <v>10</v>
      </c>
      <c r="Q14" s="444">
        <f t="shared" si="0"/>
        <v>119.98889437555685</v>
      </c>
      <c r="R14" s="116">
        <f t="shared" si="5"/>
        <v>8.2080952199999994E-6</v>
      </c>
      <c r="S14" s="447">
        <f t="shared" si="1"/>
        <v>112.89504265944613</v>
      </c>
      <c r="T14" s="448">
        <f t="shared" si="2"/>
        <v>253.57965011111506</v>
      </c>
      <c r="W14" s="298">
        <v>10</v>
      </c>
      <c r="X14" s="450">
        <f>AVERAGE(Q113:Q124)</f>
        <v>148.57980314006113</v>
      </c>
      <c r="Y14" s="154"/>
    </row>
    <row r="15" spans="1:25" x14ac:dyDescent="0.25">
      <c r="A15" s="298" t="s">
        <v>221</v>
      </c>
      <c r="B15" s="116">
        <v>2009</v>
      </c>
      <c r="C15" s="116">
        <v>11</v>
      </c>
      <c r="D15" s="116">
        <v>99.06</v>
      </c>
      <c r="E15" s="116">
        <f t="shared" si="3"/>
        <v>-4.0217172732756028E-3</v>
      </c>
      <c r="F15" s="440">
        <v>99.06</v>
      </c>
      <c r="H15" s="298" t="s">
        <v>221</v>
      </c>
      <c r="I15" s="116">
        <v>2009</v>
      </c>
      <c r="J15" s="116">
        <v>11</v>
      </c>
      <c r="K15" s="444">
        <v>216.33</v>
      </c>
      <c r="L15" s="116">
        <f t="shared" si="4"/>
        <v>7.0775336876735279E-4</v>
      </c>
      <c r="M15" s="445">
        <v>216.33</v>
      </c>
      <c r="O15" s="885"/>
      <c r="P15" s="444">
        <v>11</v>
      </c>
      <c r="Q15" s="444">
        <f t="shared" si="0"/>
        <v>119.98889437555685</v>
      </c>
      <c r="R15" s="116">
        <f t="shared" si="5"/>
        <v>8.2080952199999994E-6</v>
      </c>
      <c r="S15" s="447">
        <f t="shared" si="1"/>
        <v>112.89504265944613</v>
      </c>
      <c r="T15" s="448">
        <f t="shared" si="2"/>
        <v>253.57965011111506</v>
      </c>
      <c r="W15" s="298">
        <v>11</v>
      </c>
      <c r="X15" s="450">
        <f>AVERAGE(Q125:Q136)</f>
        <v>151.04140523779253</v>
      </c>
      <c r="Y15" s="154"/>
    </row>
    <row r="16" spans="1:25" x14ac:dyDescent="0.25">
      <c r="A16" s="298" t="s">
        <v>222</v>
      </c>
      <c r="B16" s="116">
        <v>2009</v>
      </c>
      <c r="C16" s="116">
        <v>12</v>
      </c>
      <c r="D16" s="116">
        <v>100</v>
      </c>
      <c r="E16" s="116">
        <f t="shared" si="3"/>
        <v>9.4891984655763959E-3</v>
      </c>
      <c r="F16" s="440">
        <v>100</v>
      </c>
      <c r="H16" s="298" t="s">
        <v>222</v>
      </c>
      <c r="I16" s="116">
        <v>2009</v>
      </c>
      <c r="J16" s="116">
        <v>12</v>
      </c>
      <c r="K16" s="444">
        <v>215.94900000000001</v>
      </c>
      <c r="L16" s="116">
        <f t="shared" si="4"/>
        <v>-1.7611981694633208E-3</v>
      </c>
      <c r="M16" s="445">
        <v>215.94900000000001</v>
      </c>
      <c r="O16" s="885"/>
      <c r="P16" s="444">
        <v>12</v>
      </c>
      <c r="Q16" s="444">
        <f t="shared" si="0"/>
        <v>119.98889437555685</v>
      </c>
      <c r="R16" s="116">
        <f t="shared" si="5"/>
        <v>8.2080952199999994E-6</v>
      </c>
      <c r="S16" s="447">
        <f t="shared" si="1"/>
        <v>112.89504265944613</v>
      </c>
      <c r="T16" s="448">
        <f t="shared" si="2"/>
        <v>253.57965011111506</v>
      </c>
      <c r="W16" s="298">
        <v>12</v>
      </c>
      <c r="X16" s="450">
        <f>AVERAGE(Q137:Q148)</f>
        <v>154.5950762943431</v>
      </c>
      <c r="Y16" s="154"/>
    </row>
    <row r="17" spans="1:31" x14ac:dyDescent="0.25">
      <c r="A17" s="298" t="s">
        <v>211</v>
      </c>
      <c r="B17" s="116">
        <v>2010</v>
      </c>
      <c r="C17" s="116">
        <v>13</v>
      </c>
      <c r="D17" s="116">
        <v>100.44</v>
      </c>
      <c r="E17" s="116">
        <f t="shared" si="3"/>
        <v>4.3999999999999768E-3</v>
      </c>
      <c r="F17" s="440">
        <v>100.44</v>
      </c>
      <c r="H17" s="298" t="s">
        <v>211</v>
      </c>
      <c r="I17" s="116">
        <v>2010</v>
      </c>
      <c r="J17" s="116">
        <v>13</v>
      </c>
      <c r="K17" s="451">
        <v>216.68700000000001</v>
      </c>
      <c r="L17" s="116">
        <f t="shared" si="4"/>
        <v>3.4174735701485051E-3</v>
      </c>
      <c r="M17" s="452">
        <v>216.68700000000001</v>
      </c>
      <c r="N17" s="453"/>
      <c r="O17" s="884">
        <v>2</v>
      </c>
      <c r="P17" s="444">
        <v>13</v>
      </c>
      <c r="Q17" s="444">
        <f t="shared" si="0"/>
        <v>125.10329582258626</v>
      </c>
      <c r="R17" s="451">
        <f>'Análisis Econ CCGT Nuevo'!G27</f>
        <v>8.7199163999999995E-6</v>
      </c>
      <c r="S17" s="454">
        <f>$D$135</f>
        <v>114.33224866210307</v>
      </c>
      <c r="T17" s="455">
        <f>$K$135</f>
        <v>258.35980617539354</v>
      </c>
      <c r="U17" s="453"/>
      <c r="V17" s="453"/>
      <c r="W17" s="449">
        <v>13</v>
      </c>
      <c r="X17" s="450">
        <f>AVERAGE(Q149:Q160)</f>
        <v>157.94122836456407</v>
      </c>
      <c r="Y17" s="154"/>
    </row>
    <row r="18" spans="1:31" x14ac:dyDescent="0.25">
      <c r="A18" s="298" t="s">
        <v>212</v>
      </c>
      <c r="B18" s="116">
        <v>2010</v>
      </c>
      <c r="C18" s="116">
        <v>14</v>
      </c>
      <c r="D18" s="116">
        <v>100.57</v>
      </c>
      <c r="E18" s="116">
        <f t="shared" si="3"/>
        <v>1.2943050577458727E-3</v>
      </c>
      <c r="F18" s="440">
        <v>100.57</v>
      </c>
      <c r="H18" s="298" t="s">
        <v>212</v>
      </c>
      <c r="I18" s="116">
        <v>2010</v>
      </c>
      <c r="J18" s="116">
        <v>14</v>
      </c>
      <c r="K18" s="451">
        <v>216.74100000000001</v>
      </c>
      <c r="L18" s="116">
        <f t="shared" si="4"/>
        <v>2.4920738207646074E-4</v>
      </c>
      <c r="M18" s="452">
        <v>216.74100000000001</v>
      </c>
      <c r="O18" s="884"/>
      <c r="P18" s="444">
        <v>14</v>
      </c>
      <c r="Q18" s="444">
        <f t="shared" si="0"/>
        <v>125.10329582258626</v>
      </c>
      <c r="R18" s="116">
        <f>R17</f>
        <v>8.7199163999999995E-6</v>
      </c>
      <c r="S18" s="454">
        <f t="shared" ref="S18:S28" si="6">$D$135</f>
        <v>114.33224866210307</v>
      </c>
      <c r="T18" s="455">
        <f>$K$135</f>
        <v>258.35980617539354</v>
      </c>
      <c r="W18" s="298">
        <v>14</v>
      </c>
      <c r="X18" s="450">
        <f>AVERAGE(Q161:Q172)</f>
        <v>161.69202786555977</v>
      </c>
      <c r="Y18" s="154"/>
    </row>
    <row r="19" spans="1:31" x14ac:dyDescent="0.25">
      <c r="A19" s="298" t="s">
        <v>213</v>
      </c>
      <c r="B19" s="116">
        <v>2010</v>
      </c>
      <c r="C19" s="116">
        <v>15</v>
      </c>
      <c r="D19" s="116">
        <v>100.89</v>
      </c>
      <c r="E19" s="116">
        <f t="shared" si="3"/>
        <v>3.1818633787412489E-3</v>
      </c>
      <c r="F19" s="440">
        <v>100.89</v>
      </c>
      <c r="H19" s="298" t="s">
        <v>213</v>
      </c>
      <c r="I19" s="116">
        <v>2010</v>
      </c>
      <c r="J19" s="116">
        <v>15</v>
      </c>
      <c r="K19" s="451">
        <v>217.631</v>
      </c>
      <c r="L19" s="116">
        <f t="shared" si="4"/>
        <v>4.1062835365712359E-3</v>
      </c>
      <c r="M19" s="452">
        <v>217.631</v>
      </c>
      <c r="O19" s="884"/>
      <c r="P19" s="444">
        <v>15</v>
      </c>
      <c r="Q19" s="444">
        <f t="shared" si="0"/>
        <v>125.10329582258626</v>
      </c>
      <c r="R19" s="116">
        <f t="shared" ref="R19:R28" si="7">R18</f>
        <v>8.7199163999999995E-6</v>
      </c>
      <c r="S19" s="454">
        <f t="shared" si="6"/>
        <v>114.33224866210307</v>
      </c>
      <c r="T19" s="455">
        <f t="shared" ref="T19:T24" si="8">$K$135</f>
        <v>258.35980617539354</v>
      </c>
      <c r="W19" s="298">
        <v>15</v>
      </c>
      <c r="X19" s="450">
        <f>AVERAGE(Q173:Q184)</f>
        <v>163.09497430308485</v>
      </c>
      <c r="Y19" s="154"/>
    </row>
    <row r="20" spans="1:31" x14ac:dyDescent="0.25">
      <c r="A20" s="298" t="s">
        <v>214</v>
      </c>
      <c r="B20" s="116">
        <v>2010</v>
      </c>
      <c r="C20" s="116">
        <v>16</v>
      </c>
      <c r="D20" s="116">
        <v>100.71</v>
      </c>
      <c r="E20" s="116">
        <f t="shared" si="3"/>
        <v>-1.7841213202498445E-3</v>
      </c>
      <c r="F20" s="440">
        <v>100.71</v>
      </c>
      <c r="H20" s="298" t="s">
        <v>214</v>
      </c>
      <c r="I20" s="116">
        <v>2010</v>
      </c>
      <c r="J20" s="116">
        <v>16</v>
      </c>
      <c r="K20" s="451">
        <v>218.00899999999999</v>
      </c>
      <c r="L20" s="116">
        <f t="shared" si="4"/>
        <v>1.7368849106974003E-3</v>
      </c>
      <c r="M20" s="452">
        <v>218.00899999999999</v>
      </c>
      <c r="O20" s="884"/>
      <c r="P20" s="444">
        <v>16</v>
      </c>
      <c r="Q20" s="444">
        <f t="shared" si="0"/>
        <v>125.10329582258626</v>
      </c>
      <c r="R20" s="116">
        <f t="shared" si="7"/>
        <v>8.7199163999999995E-6</v>
      </c>
      <c r="S20" s="454">
        <f t="shared" si="6"/>
        <v>114.33224866210307</v>
      </c>
      <c r="T20" s="455">
        <f t="shared" si="8"/>
        <v>258.35980617539354</v>
      </c>
      <c r="W20" s="298">
        <v>16</v>
      </c>
      <c r="X20" s="450">
        <f>AVERAGE(Q185:Q196)</f>
        <v>166.05045411257086</v>
      </c>
      <c r="Y20" s="154"/>
    </row>
    <row r="21" spans="1:31" ht="15.75" thickBot="1" x14ac:dyDescent="0.3">
      <c r="A21" s="298" t="s">
        <v>215</v>
      </c>
      <c r="B21" s="116">
        <v>2010</v>
      </c>
      <c r="C21" s="116">
        <v>17</v>
      </c>
      <c r="D21" s="116">
        <v>100.5</v>
      </c>
      <c r="E21" s="116">
        <f t="shared" si="3"/>
        <v>-2.0851951146856691E-3</v>
      </c>
      <c r="F21" s="440">
        <v>100.5</v>
      </c>
      <c r="H21" s="298" t="s">
        <v>215</v>
      </c>
      <c r="I21" s="116">
        <v>2010</v>
      </c>
      <c r="J21" s="116">
        <v>17</v>
      </c>
      <c r="K21" s="451">
        <v>218.178</v>
      </c>
      <c r="L21" s="116">
        <f t="shared" si="4"/>
        <v>7.7519735423772025E-4</v>
      </c>
      <c r="M21" s="452">
        <v>218.178</v>
      </c>
      <c r="O21" s="884"/>
      <c r="P21" s="444">
        <v>17</v>
      </c>
      <c r="Q21" s="444">
        <f t="shared" si="0"/>
        <v>125.10329582258626</v>
      </c>
      <c r="R21" s="116">
        <f t="shared" si="7"/>
        <v>8.7199163999999995E-6</v>
      </c>
      <c r="S21" s="454">
        <f t="shared" si="6"/>
        <v>114.33224866210307</v>
      </c>
      <c r="T21" s="455">
        <f t="shared" si="8"/>
        <v>258.35980617539354</v>
      </c>
      <c r="W21" s="456">
        <v>17</v>
      </c>
      <c r="X21" s="457">
        <f>AVERAGE(Q197:Q208)</f>
        <v>167.95892220815168</v>
      </c>
      <c r="Y21" s="154"/>
    </row>
    <row r="22" spans="1:31" x14ac:dyDescent="0.25">
      <c r="A22" s="298" t="s">
        <v>216</v>
      </c>
      <c r="B22" s="116">
        <v>2010</v>
      </c>
      <c r="C22" s="116">
        <v>18</v>
      </c>
      <c r="D22" s="116">
        <v>100.96</v>
      </c>
      <c r="E22" s="116">
        <f t="shared" si="3"/>
        <v>4.5771144278606343E-3</v>
      </c>
      <c r="F22" s="440">
        <v>100.96</v>
      </c>
      <c r="H22" s="298" t="s">
        <v>216</v>
      </c>
      <c r="I22" s="116">
        <v>2010</v>
      </c>
      <c r="J22" s="116">
        <v>18</v>
      </c>
      <c r="K22" s="451">
        <v>217.965</v>
      </c>
      <c r="L22" s="116">
        <f t="shared" si="4"/>
        <v>-9.7626708467395368E-4</v>
      </c>
      <c r="M22" s="452">
        <v>217.965</v>
      </c>
      <c r="O22" s="884"/>
      <c r="P22" s="444">
        <v>18</v>
      </c>
      <c r="Q22" s="444">
        <f t="shared" si="0"/>
        <v>125.10329582258626</v>
      </c>
      <c r="R22" s="116">
        <f t="shared" si="7"/>
        <v>8.7199163999999995E-6</v>
      </c>
      <c r="S22" s="454">
        <f t="shared" si="6"/>
        <v>114.33224866210307</v>
      </c>
      <c r="T22" s="455">
        <f t="shared" si="8"/>
        <v>258.35980617539354</v>
      </c>
    </row>
    <row r="23" spans="1:31" x14ac:dyDescent="0.25">
      <c r="A23" s="298" t="s">
        <v>217</v>
      </c>
      <c r="B23" s="116">
        <v>2010</v>
      </c>
      <c r="C23" s="116">
        <v>19</v>
      </c>
      <c r="D23" s="116">
        <v>100.98</v>
      </c>
      <c r="E23" s="116">
        <f t="shared" si="3"/>
        <v>1.9809825673544208E-4</v>
      </c>
      <c r="F23" s="440">
        <v>100.98</v>
      </c>
      <c r="H23" s="298" t="s">
        <v>217</v>
      </c>
      <c r="I23" s="116">
        <v>2010</v>
      </c>
      <c r="J23" s="116">
        <v>19</v>
      </c>
      <c r="K23" s="451">
        <v>218.011</v>
      </c>
      <c r="L23" s="116">
        <f t="shared" si="4"/>
        <v>2.1104305737156088E-4</v>
      </c>
      <c r="M23" s="452">
        <v>218.011</v>
      </c>
      <c r="O23" s="884"/>
      <c r="P23" s="444">
        <v>19</v>
      </c>
      <c r="Q23" s="444">
        <f t="shared" si="0"/>
        <v>125.10329582258626</v>
      </c>
      <c r="R23" s="116">
        <f t="shared" si="7"/>
        <v>8.7199163999999995E-6</v>
      </c>
      <c r="S23" s="454">
        <f t="shared" si="6"/>
        <v>114.33224866210307</v>
      </c>
      <c r="T23" s="455">
        <f t="shared" si="8"/>
        <v>258.35980617539354</v>
      </c>
      <c r="W23" s="883" t="s">
        <v>223</v>
      </c>
      <c r="X23" s="883"/>
      <c r="Z23" s="883" t="s">
        <v>224</v>
      </c>
      <c r="AA23" s="883"/>
      <c r="AD23" s="883" t="s">
        <v>225</v>
      </c>
      <c r="AE23" s="883"/>
    </row>
    <row r="24" spans="1:31" x14ac:dyDescent="0.25">
      <c r="A24" s="298" t="s">
        <v>218</v>
      </c>
      <c r="B24" s="116">
        <v>2010</v>
      </c>
      <c r="C24" s="116">
        <v>20</v>
      </c>
      <c r="D24" s="116">
        <v>100.81</v>
      </c>
      <c r="E24" s="116">
        <f t="shared" si="3"/>
        <v>-1.6835016835017003E-3</v>
      </c>
      <c r="F24" s="440">
        <v>100.81</v>
      </c>
      <c r="H24" s="298" t="s">
        <v>218</v>
      </c>
      <c r="I24" s="116">
        <v>2010</v>
      </c>
      <c r="J24" s="116">
        <v>20</v>
      </c>
      <c r="K24" s="451">
        <v>218.31200000000001</v>
      </c>
      <c r="L24" s="116">
        <f t="shared" si="4"/>
        <v>1.3806642784080442E-3</v>
      </c>
      <c r="M24" s="452">
        <v>218.31200000000001</v>
      </c>
      <c r="O24" s="884"/>
      <c r="P24" s="444">
        <v>20</v>
      </c>
      <c r="Q24" s="444">
        <f t="shared" si="0"/>
        <v>125.10329582258626</v>
      </c>
      <c r="R24" s="116">
        <f t="shared" si="7"/>
        <v>8.7199163999999995E-6</v>
      </c>
      <c r="S24" s="454">
        <f t="shared" si="6"/>
        <v>114.33224866210307</v>
      </c>
      <c r="T24" s="455">
        <f t="shared" si="8"/>
        <v>258.35980617539354</v>
      </c>
      <c r="W24" t="s">
        <v>204</v>
      </c>
      <c r="X24" t="s">
        <v>210</v>
      </c>
      <c r="Z24" t="s">
        <v>204</v>
      </c>
      <c r="AA24" t="s">
        <v>210</v>
      </c>
      <c r="AD24" t="s">
        <v>204</v>
      </c>
      <c r="AE24" t="s">
        <v>210</v>
      </c>
    </row>
    <row r="25" spans="1:31" x14ac:dyDescent="0.25">
      <c r="A25" s="298" t="s">
        <v>219</v>
      </c>
      <c r="B25" s="116">
        <v>2010</v>
      </c>
      <c r="C25" s="116">
        <v>21</v>
      </c>
      <c r="D25" s="116">
        <v>101.11</v>
      </c>
      <c r="E25" s="116">
        <f t="shared" si="3"/>
        <v>2.9758952484872248E-3</v>
      </c>
      <c r="F25" s="440">
        <v>101.11</v>
      </c>
      <c r="H25" s="298" t="s">
        <v>219</v>
      </c>
      <c r="I25" s="116">
        <v>2010</v>
      </c>
      <c r="J25" s="116">
        <v>21</v>
      </c>
      <c r="K25" s="451">
        <v>218.43899999999999</v>
      </c>
      <c r="L25" s="116">
        <f t="shared" si="4"/>
        <v>5.8173623071558652E-4</v>
      </c>
      <c r="M25" s="452">
        <v>218.43899999999999</v>
      </c>
      <c r="O25" s="884"/>
      <c r="P25" s="444">
        <v>21</v>
      </c>
      <c r="Q25" s="444">
        <f t="shared" si="0"/>
        <v>125.10329582258626</v>
      </c>
      <c r="R25" s="116">
        <f t="shared" si="7"/>
        <v>8.7199163999999995E-6</v>
      </c>
      <c r="S25" s="454">
        <f t="shared" si="6"/>
        <v>114.33224866210307</v>
      </c>
      <c r="T25" s="455">
        <f>$K$135</f>
        <v>258.35980617539354</v>
      </c>
      <c r="W25">
        <v>1</v>
      </c>
      <c r="X25" s="293">
        <v>119.98774996050339</v>
      </c>
      <c r="Z25">
        <v>1</v>
      </c>
      <c r="AA25" s="293">
        <v>119.98873905687127</v>
      </c>
      <c r="AD25">
        <v>1</v>
      </c>
      <c r="AE25" s="293">
        <v>119.98889437555682</v>
      </c>
    </row>
    <row r="26" spans="1:31" x14ac:dyDescent="0.25">
      <c r="A26" s="298" t="s">
        <v>220</v>
      </c>
      <c r="B26" s="116">
        <v>2010</v>
      </c>
      <c r="C26" s="116">
        <v>22</v>
      </c>
      <c r="D26" s="116">
        <v>101.78</v>
      </c>
      <c r="E26" s="116">
        <f t="shared" si="3"/>
        <v>6.6264464444664396E-3</v>
      </c>
      <c r="F26" s="440">
        <v>101.78</v>
      </c>
      <c r="H26" s="298" t="s">
        <v>220</v>
      </c>
      <c r="I26" s="116">
        <v>2010</v>
      </c>
      <c r="J26" s="116">
        <v>22</v>
      </c>
      <c r="K26" s="451">
        <v>218.71100000000001</v>
      </c>
      <c r="L26" s="116">
        <f t="shared" si="4"/>
        <v>1.2451988884769651E-3</v>
      </c>
      <c r="M26" s="452">
        <v>218.71100000000001</v>
      </c>
      <c r="O26" s="884"/>
      <c r="P26" s="444">
        <v>22</v>
      </c>
      <c r="Q26" s="444">
        <f t="shared" si="0"/>
        <v>125.10329582258626</v>
      </c>
      <c r="R26" s="116">
        <f t="shared" si="7"/>
        <v>8.7199163999999995E-6</v>
      </c>
      <c r="S26" s="454">
        <f t="shared" si="6"/>
        <v>114.33224866210307</v>
      </c>
      <c r="T26" s="455">
        <f>$K$135</f>
        <v>258.35980617539354</v>
      </c>
      <c r="W26">
        <v>2</v>
      </c>
      <c r="X26" s="293">
        <v>124.77501288291234</v>
      </c>
      <c r="Z26">
        <v>2</v>
      </c>
      <c r="AA26" s="293">
        <v>124.65017002447068</v>
      </c>
      <c r="AD26">
        <v>2</v>
      </c>
      <c r="AE26" s="293">
        <v>125.10329582258625</v>
      </c>
    </row>
    <row r="27" spans="1:31" x14ac:dyDescent="0.25">
      <c r="A27" s="298" t="s">
        <v>221</v>
      </c>
      <c r="B27" s="116">
        <v>2010</v>
      </c>
      <c r="C27" s="116">
        <v>23</v>
      </c>
      <c r="D27" s="116">
        <v>102.24</v>
      </c>
      <c r="E27" s="116">
        <f t="shared" si="3"/>
        <v>4.5195519748476489E-3</v>
      </c>
      <c r="F27" s="440">
        <v>102.24</v>
      </c>
      <c r="H27" s="298" t="s">
        <v>221</v>
      </c>
      <c r="I27" s="116">
        <v>2010</v>
      </c>
      <c r="J27" s="116">
        <v>23</v>
      </c>
      <c r="K27" s="451">
        <v>218.803</v>
      </c>
      <c r="L27" s="116">
        <f t="shared" si="4"/>
        <v>4.2064642381949024E-4</v>
      </c>
      <c r="M27" s="452">
        <v>218.803</v>
      </c>
      <c r="O27" s="884"/>
      <c r="P27" s="444">
        <v>23</v>
      </c>
      <c r="Q27" s="444">
        <f t="shared" si="0"/>
        <v>125.10329582258626</v>
      </c>
      <c r="R27" s="116">
        <f t="shared" si="7"/>
        <v>8.7199163999999995E-6</v>
      </c>
      <c r="S27" s="454">
        <f t="shared" si="6"/>
        <v>114.33224866210307</v>
      </c>
      <c r="T27" s="455">
        <f t="shared" ref="T27:T28" si="9">$K$135</f>
        <v>258.35980617539354</v>
      </c>
      <c r="W27">
        <v>3</v>
      </c>
      <c r="X27" s="293">
        <v>128.70094797275627</v>
      </c>
      <c r="Z27">
        <v>3</v>
      </c>
      <c r="AA27" s="293">
        <v>128.49466744767096</v>
      </c>
      <c r="AD27">
        <v>3</v>
      </c>
      <c r="AE27" s="293">
        <v>129.24179456469534</v>
      </c>
    </row>
    <row r="28" spans="1:31" x14ac:dyDescent="0.25">
      <c r="A28" s="298" t="s">
        <v>222</v>
      </c>
      <c r="B28" s="116">
        <v>2010</v>
      </c>
      <c r="C28" s="116">
        <v>24</v>
      </c>
      <c r="D28" s="116">
        <v>102.13</v>
      </c>
      <c r="E28" s="116">
        <f t="shared" si="3"/>
        <v>-1.0758998435054718E-3</v>
      </c>
      <c r="F28" s="440">
        <v>102.13</v>
      </c>
      <c r="H28" s="298" t="s">
        <v>222</v>
      </c>
      <c r="I28" s="116">
        <v>2010</v>
      </c>
      <c r="J28" s="116">
        <v>24</v>
      </c>
      <c r="K28" s="451">
        <v>219.179</v>
      </c>
      <c r="L28" s="116">
        <f t="shared" si="4"/>
        <v>1.7184407892030949E-3</v>
      </c>
      <c r="M28" s="452">
        <v>219.179</v>
      </c>
      <c r="O28" s="884"/>
      <c r="P28" s="444">
        <v>24</v>
      </c>
      <c r="Q28" s="444">
        <f t="shared" si="0"/>
        <v>125.10329582258626</v>
      </c>
      <c r="R28" s="116">
        <f t="shared" si="7"/>
        <v>8.7199163999999995E-6</v>
      </c>
      <c r="S28" s="454">
        <f t="shared" si="6"/>
        <v>114.33224866210307</v>
      </c>
      <c r="T28" s="455">
        <f t="shared" si="9"/>
        <v>258.35980617539354</v>
      </c>
      <c r="W28">
        <v>4</v>
      </c>
      <c r="X28" s="293">
        <v>132.03735874063298</v>
      </c>
      <c r="Z28">
        <v>4</v>
      </c>
      <c r="AA28" s="293">
        <v>131.78070881762031</v>
      </c>
      <c r="AD28">
        <v>4</v>
      </c>
      <c r="AE28" s="293">
        <v>132.71060867541092</v>
      </c>
    </row>
    <row r="29" spans="1:31" x14ac:dyDescent="0.25">
      <c r="A29" s="298" t="s">
        <v>211</v>
      </c>
      <c r="B29" s="116">
        <v>2011</v>
      </c>
      <c r="C29" s="116">
        <v>25</v>
      </c>
      <c r="D29" s="116">
        <v>102.77</v>
      </c>
      <c r="E29" s="116">
        <f t="shared" si="3"/>
        <v>6.2665230588465739E-3</v>
      </c>
      <c r="F29" s="440">
        <v>102.77</v>
      </c>
      <c r="H29" s="298" t="s">
        <v>211</v>
      </c>
      <c r="I29" s="116">
        <v>2011</v>
      </c>
      <c r="J29" s="116">
        <v>25</v>
      </c>
      <c r="K29" s="444">
        <v>220.22300000000001</v>
      </c>
      <c r="L29" s="116">
        <f t="shared" si="4"/>
        <v>4.7632300539741995E-3</v>
      </c>
      <c r="M29" s="445">
        <v>220.22300000000001</v>
      </c>
      <c r="N29" s="446"/>
      <c r="O29" s="881">
        <v>3</v>
      </c>
      <c r="P29" s="444">
        <v>25</v>
      </c>
      <c r="Q29" s="444">
        <f t="shared" si="0"/>
        <v>129.24179456469537</v>
      </c>
      <c r="R29" s="444">
        <f>'Análisis Econ CCGT Nuevo'!G28</f>
        <v>9.1085213699999987E-6</v>
      </c>
      <c r="S29" s="447">
        <f>$D$147</f>
        <v>115.78775096055313</v>
      </c>
      <c r="T29" s="448">
        <f>$K$147</f>
        <v>263.23007156819585</v>
      </c>
      <c r="U29" s="446"/>
      <c r="V29" s="446"/>
      <c r="W29" s="446">
        <v>5</v>
      </c>
      <c r="X29" s="293">
        <v>134.51322216923819</v>
      </c>
      <c r="Z29">
        <v>5</v>
      </c>
      <c r="AA29" s="293">
        <v>134.25063598672887</v>
      </c>
      <c r="AD29">
        <v>5</v>
      </c>
      <c r="AE29" s="293">
        <v>135.20420354729086</v>
      </c>
    </row>
    <row r="30" spans="1:31" x14ac:dyDescent="0.25">
      <c r="A30" s="298" t="s">
        <v>212</v>
      </c>
      <c r="B30" s="116">
        <v>2011</v>
      </c>
      <c r="C30" s="116">
        <v>26</v>
      </c>
      <c r="D30" s="116">
        <v>102.96</v>
      </c>
      <c r="E30" s="116">
        <f t="shared" si="3"/>
        <v>1.848788556971857E-3</v>
      </c>
      <c r="F30" s="440">
        <v>102.96</v>
      </c>
      <c r="H30" s="298" t="s">
        <v>212</v>
      </c>
      <c r="I30" s="116">
        <v>2011</v>
      </c>
      <c r="J30" s="116">
        <v>26</v>
      </c>
      <c r="K30" s="444">
        <v>221.309</v>
      </c>
      <c r="L30" s="116">
        <f t="shared" si="4"/>
        <v>4.9313650254514023E-3</v>
      </c>
      <c r="M30" s="445">
        <v>221.309</v>
      </c>
      <c r="O30" s="881"/>
      <c r="P30" s="444">
        <v>26</v>
      </c>
      <c r="Q30" s="444">
        <f t="shared" si="0"/>
        <v>129.24179456469537</v>
      </c>
      <c r="R30" s="116">
        <f>R29</f>
        <v>9.1085213699999987E-6</v>
      </c>
      <c r="S30" s="447">
        <f t="shared" ref="S30:S40" si="10">$D$147</f>
        <v>115.78775096055313</v>
      </c>
      <c r="T30" s="448">
        <f t="shared" ref="T30:T40" si="11">$K$147</f>
        <v>263.23007156819585</v>
      </c>
      <c r="W30">
        <v>6</v>
      </c>
      <c r="X30" s="293">
        <v>136.94319010545522</v>
      </c>
      <c r="Z30">
        <v>6</v>
      </c>
      <c r="AA30" s="293">
        <v>136.67908498742599</v>
      </c>
      <c r="AD30">
        <v>6</v>
      </c>
      <c r="AE30" s="293">
        <v>137.64056902381864</v>
      </c>
    </row>
    <row r="31" spans="1:31" x14ac:dyDescent="0.25">
      <c r="A31" s="298" t="s">
        <v>213</v>
      </c>
      <c r="B31" s="116">
        <v>2011</v>
      </c>
      <c r="C31" s="116">
        <v>27</v>
      </c>
      <c r="D31" s="116">
        <v>103.63</v>
      </c>
      <c r="E31" s="116">
        <f t="shared" si="3"/>
        <v>6.5073815073815244E-3</v>
      </c>
      <c r="F31" s="440">
        <v>103.63</v>
      </c>
      <c r="H31" s="298" t="s">
        <v>213</v>
      </c>
      <c r="I31" s="116">
        <v>2011</v>
      </c>
      <c r="J31" s="116">
        <v>27</v>
      </c>
      <c r="K31" s="444">
        <v>223.46700000000001</v>
      </c>
      <c r="L31" s="116">
        <f t="shared" si="4"/>
        <v>9.7510720305094487E-3</v>
      </c>
      <c r="M31" s="445">
        <v>223.46700000000001</v>
      </c>
      <c r="O31" s="881"/>
      <c r="P31" s="444">
        <v>27</v>
      </c>
      <c r="Q31" s="444">
        <f t="shared" si="0"/>
        <v>129.24179456469537</v>
      </c>
      <c r="R31" s="116">
        <f t="shared" ref="R31:R40" si="12">R30</f>
        <v>9.1085213699999987E-6</v>
      </c>
      <c r="S31" s="447">
        <f t="shared" si="10"/>
        <v>115.78775096055313</v>
      </c>
      <c r="T31" s="448">
        <f t="shared" si="11"/>
        <v>263.23007156819585</v>
      </c>
      <c r="W31">
        <v>7</v>
      </c>
      <c r="X31" s="293">
        <v>140.27763033184516</v>
      </c>
      <c r="Z31">
        <v>7</v>
      </c>
      <c r="AA31" s="293">
        <v>139.96973553236805</v>
      </c>
      <c r="AD31">
        <v>7</v>
      </c>
      <c r="AE31" s="293">
        <v>141.09064126224078</v>
      </c>
    </row>
    <row r="32" spans="1:31" x14ac:dyDescent="0.25">
      <c r="A32" s="298" t="s">
        <v>214</v>
      </c>
      <c r="B32" s="116">
        <v>2011</v>
      </c>
      <c r="C32" s="116">
        <v>28</v>
      </c>
      <c r="D32" s="116">
        <v>106.71</v>
      </c>
      <c r="E32" s="116">
        <f t="shared" si="3"/>
        <v>2.9721123226864793E-2</v>
      </c>
      <c r="F32" s="440">
        <v>106.71</v>
      </c>
      <c r="H32" s="298" t="s">
        <v>214</v>
      </c>
      <c r="I32" s="116">
        <v>2011</v>
      </c>
      <c r="J32" s="116">
        <v>28</v>
      </c>
      <c r="K32" s="444">
        <v>224.90600000000001</v>
      </c>
      <c r="L32" s="116">
        <f t="shared" si="4"/>
        <v>6.4394295354571049E-3</v>
      </c>
      <c r="M32" s="445">
        <v>224.90600000000001</v>
      </c>
      <c r="O32" s="881"/>
      <c r="P32" s="444">
        <v>28</v>
      </c>
      <c r="Q32" s="444">
        <f t="shared" si="0"/>
        <v>129.24179456469537</v>
      </c>
      <c r="R32" s="116">
        <f t="shared" si="12"/>
        <v>9.1085213699999987E-6</v>
      </c>
      <c r="S32" s="447">
        <f t="shared" si="10"/>
        <v>115.78775096055313</v>
      </c>
      <c r="T32" s="448">
        <f t="shared" si="11"/>
        <v>263.23007156819585</v>
      </c>
      <c r="W32">
        <v>8</v>
      </c>
      <c r="X32" s="293">
        <v>143.4312916981871</v>
      </c>
      <c r="Z32">
        <v>8</v>
      </c>
      <c r="AA32" s="293">
        <v>143.09073825994619</v>
      </c>
      <c r="AD32">
        <v>8</v>
      </c>
      <c r="AE32" s="293">
        <v>144.33126683858973</v>
      </c>
    </row>
    <row r="33" spans="1:31" x14ac:dyDescent="0.25">
      <c r="A33" s="298" t="s">
        <v>215</v>
      </c>
      <c r="B33" s="116">
        <v>2011</v>
      </c>
      <c r="C33" s="116">
        <v>29</v>
      </c>
      <c r="D33" s="116">
        <v>107.23</v>
      </c>
      <c r="E33" s="116">
        <f t="shared" si="3"/>
        <v>4.8730203354888039E-3</v>
      </c>
      <c r="F33" s="440">
        <v>107.23</v>
      </c>
      <c r="H33" s="298" t="s">
        <v>215</v>
      </c>
      <c r="I33" s="116">
        <v>2011</v>
      </c>
      <c r="J33" s="116">
        <v>29</v>
      </c>
      <c r="K33" s="444">
        <v>225.964</v>
      </c>
      <c r="L33" s="116">
        <f t="shared" si="4"/>
        <v>4.704187527233567E-3</v>
      </c>
      <c r="M33" s="445">
        <v>225.964</v>
      </c>
      <c r="O33" s="881"/>
      <c r="P33" s="444">
        <v>29</v>
      </c>
      <c r="Q33" s="444">
        <f t="shared" si="0"/>
        <v>129.24179456469537</v>
      </c>
      <c r="R33" s="116">
        <f t="shared" si="12"/>
        <v>9.1085213699999987E-6</v>
      </c>
      <c r="S33" s="447">
        <f t="shared" si="10"/>
        <v>115.78775096055313</v>
      </c>
      <c r="T33" s="448">
        <f t="shared" si="11"/>
        <v>263.23007156819585</v>
      </c>
      <c r="W33">
        <v>9</v>
      </c>
      <c r="X33" s="293">
        <v>146.03709247027606</v>
      </c>
      <c r="Z33">
        <v>9</v>
      </c>
      <c r="AA33" s="293">
        <v>145.70359750019978</v>
      </c>
      <c r="AD33">
        <v>9</v>
      </c>
      <c r="AE33" s="293">
        <v>146.92177465099053</v>
      </c>
    </row>
    <row r="34" spans="1:31" x14ac:dyDescent="0.25">
      <c r="A34" s="298" t="s">
        <v>216</v>
      </c>
      <c r="B34" s="116">
        <v>2011</v>
      </c>
      <c r="C34" s="116">
        <v>30</v>
      </c>
      <c r="D34" s="116">
        <v>107.29</v>
      </c>
      <c r="E34" s="116">
        <f t="shared" si="3"/>
        <v>5.5954490347852532E-4</v>
      </c>
      <c r="F34" s="440">
        <v>107.29</v>
      </c>
      <c r="H34" s="298" t="s">
        <v>216</v>
      </c>
      <c r="I34" s="116">
        <v>2011</v>
      </c>
      <c r="J34" s="116">
        <v>30</v>
      </c>
      <c r="K34" s="444">
        <v>225.72200000000001</v>
      </c>
      <c r="L34" s="116">
        <f t="shared" si="4"/>
        <v>-1.0709670566992539E-3</v>
      </c>
      <c r="M34" s="445">
        <v>225.72200000000001</v>
      </c>
      <c r="O34" s="881"/>
      <c r="P34" s="444">
        <v>30</v>
      </c>
      <c r="Q34" s="444">
        <f t="shared" si="0"/>
        <v>129.24179456469537</v>
      </c>
      <c r="R34" s="116">
        <f t="shared" si="12"/>
        <v>9.1085213699999987E-6</v>
      </c>
      <c r="S34" s="447">
        <f t="shared" si="10"/>
        <v>115.78775096055313</v>
      </c>
      <c r="T34" s="448">
        <f t="shared" si="11"/>
        <v>263.23007156819585</v>
      </c>
      <c r="W34">
        <v>10</v>
      </c>
      <c r="X34" s="293">
        <v>147.77304372023585</v>
      </c>
      <c r="Z34">
        <v>10</v>
      </c>
      <c r="AA34" s="293">
        <v>147.47071366589964</v>
      </c>
      <c r="AD34">
        <v>10</v>
      </c>
      <c r="AE34" s="293">
        <v>148.57980314006113</v>
      </c>
    </row>
    <row r="35" spans="1:31" x14ac:dyDescent="0.25">
      <c r="A35" s="298" t="s">
        <v>217</v>
      </c>
      <c r="B35" s="116">
        <v>2011</v>
      </c>
      <c r="C35" s="116">
        <v>31</v>
      </c>
      <c r="D35" s="116">
        <v>107.57</v>
      </c>
      <c r="E35" s="116">
        <f t="shared" si="3"/>
        <v>2.60974927765856E-3</v>
      </c>
      <c r="F35" s="440">
        <v>107.57</v>
      </c>
      <c r="H35" s="298" t="s">
        <v>217</v>
      </c>
      <c r="I35" s="116">
        <v>2011</v>
      </c>
      <c r="J35" s="116">
        <v>31</v>
      </c>
      <c r="K35" s="444">
        <v>225.922</v>
      </c>
      <c r="L35" s="116">
        <f t="shared" si="4"/>
        <v>8.8604566679361611E-4</v>
      </c>
      <c r="M35" s="445">
        <v>225.922</v>
      </c>
      <c r="O35" s="881"/>
      <c r="P35" s="444">
        <v>31</v>
      </c>
      <c r="Q35" s="444">
        <f t="shared" si="0"/>
        <v>129.24179456469537</v>
      </c>
      <c r="R35" s="116">
        <f t="shared" si="12"/>
        <v>9.1085213699999987E-6</v>
      </c>
      <c r="S35" s="447">
        <f t="shared" si="10"/>
        <v>115.78775096055313</v>
      </c>
      <c r="T35" s="448">
        <f t="shared" si="11"/>
        <v>263.23007156819585</v>
      </c>
      <c r="W35">
        <v>11</v>
      </c>
      <c r="X35" s="293">
        <v>150.25123673834733</v>
      </c>
      <c r="Z35">
        <v>11</v>
      </c>
      <c r="AA35" s="293">
        <v>149.95644215832598</v>
      </c>
      <c r="AD35">
        <v>11</v>
      </c>
      <c r="AE35" s="293">
        <v>151.04140523779253</v>
      </c>
    </row>
    <row r="36" spans="1:31" x14ac:dyDescent="0.25">
      <c r="A36" s="298" t="s">
        <v>218</v>
      </c>
      <c r="B36" s="116">
        <v>2011</v>
      </c>
      <c r="C36" s="116">
        <v>32</v>
      </c>
      <c r="D36" s="116">
        <v>107.69</v>
      </c>
      <c r="E36" s="116">
        <f t="shared" si="3"/>
        <v>1.1155526633820261E-3</v>
      </c>
      <c r="F36" s="440">
        <v>107.69</v>
      </c>
      <c r="H36" s="298" t="s">
        <v>218</v>
      </c>
      <c r="I36" s="116">
        <v>2011</v>
      </c>
      <c r="J36" s="116">
        <v>32</v>
      </c>
      <c r="K36" s="444">
        <v>226.54499999999999</v>
      </c>
      <c r="L36" s="116">
        <f t="shared" si="4"/>
        <v>2.7575889023644905E-3</v>
      </c>
      <c r="M36" s="445">
        <v>226.54499999999999</v>
      </c>
      <c r="O36" s="881"/>
      <c r="P36" s="444">
        <v>32</v>
      </c>
      <c r="Q36" s="444">
        <f t="shared" si="0"/>
        <v>129.24179456469537</v>
      </c>
      <c r="R36" s="116">
        <f t="shared" si="12"/>
        <v>9.1085213699999987E-6</v>
      </c>
      <c r="S36" s="447">
        <f t="shared" si="10"/>
        <v>115.78775096055313</v>
      </c>
      <c r="T36" s="448">
        <f t="shared" si="11"/>
        <v>263.23007156819585</v>
      </c>
      <c r="W36">
        <v>12</v>
      </c>
      <c r="X36" s="293">
        <v>153.70391732150577</v>
      </c>
      <c r="Z36">
        <v>12</v>
      </c>
      <c r="AA36" s="293">
        <v>153.37115880955091</v>
      </c>
      <c r="AD36">
        <v>12</v>
      </c>
      <c r="AE36" s="293">
        <v>154.5950762943431</v>
      </c>
    </row>
    <row r="37" spans="1:31" x14ac:dyDescent="0.25">
      <c r="A37" s="298" t="s">
        <v>219</v>
      </c>
      <c r="B37" s="116">
        <v>2011</v>
      </c>
      <c r="C37" s="116">
        <v>33</v>
      </c>
      <c r="D37" s="116">
        <v>107.4</v>
      </c>
      <c r="E37" s="116">
        <f t="shared" si="3"/>
        <v>-2.6929148481752443E-3</v>
      </c>
      <c r="F37" s="440">
        <v>107.4</v>
      </c>
      <c r="H37" s="298" t="s">
        <v>219</v>
      </c>
      <c r="I37" s="116">
        <v>2011</v>
      </c>
      <c r="J37" s="116">
        <v>33</v>
      </c>
      <c r="K37" s="444">
        <v>226.88900000000001</v>
      </c>
      <c r="L37" s="116">
        <f t="shared" si="4"/>
        <v>1.518462115694553E-3</v>
      </c>
      <c r="M37" s="445">
        <v>226.88900000000001</v>
      </c>
      <c r="O37" s="881"/>
      <c r="P37" s="444">
        <v>33</v>
      </c>
      <c r="Q37" s="444">
        <f t="shared" si="0"/>
        <v>129.24179456469537</v>
      </c>
      <c r="R37" s="116">
        <f t="shared" si="12"/>
        <v>9.1085213699999987E-6</v>
      </c>
      <c r="S37" s="447">
        <f t="shared" si="10"/>
        <v>115.78775096055313</v>
      </c>
      <c r="T37" s="448">
        <f t="shared" si="11"/>
        <v>263.23007156819585</v>
      </c>
      <c r="W37">
        <v>13</v>
      </c>
      <c r="X37" s="293">
        <v>156.97802049262847</v>
      </c>
      <c r="Z37">
        <v>13</v>
      </c>
      <c r="AA37" s="293">
        <v>156.61853877461274</v>
      </c>
      <c r="AD37">
        <v>13</v>
      </c>
      <c r="AE37" s="293">
        <v>157.94122836456407</v>
      </c>
    </row>
    <row r="38" spans="1:31" x14ac:dyDescent="0.25">
      <c r="A38" s="298" t="s">
        <v>220</v>
      </c>
      <c r="B38" s="116">
        <v>2011</v>
      </c>
      <c r="C38" s="116">
        <v>34</v>
      </c>
      <c r="D38" s="116">
        <v>107.32</v>
      </c>
      <c r="E38" s="116">
        <f t="shared" si="3"/>
        <v>-7.4487895716957638E-4</v>
      </c>
      <c r="F38" s="440">
        <v>107.32</v>
      </c>
      <c r="H38" s="298" t="s">
        <v>220</v>
      </c>
      <c r="I38" s="116">
        <v>2011</v>
      </c>
      <c r="J38" s="116">
        <v>34</v>
      </c>
      <c r="K38" s="444">
        <v>226.42099999999999</v>
      </c>
      <c r="L38" s="116">
        <f t="shared" si="4"/>
        <v>-2.0626826333582401E-3</v>
      </c>
      <c r="M38" s="445">
        <v>226.42099999999999</v>
      </c>
      <c r="O38" s="881"/>
      <c r="P38" s="444">
        <v>34</v>
      </c>
      <c r="Q38" s="444">
        <f t="shared" si="0"/>
        <v>129.24179456469537</v>
      </c>
      <c r="R38" s="116">
        <f t="shared" si="12"/>
        <v>9.1085213699999987E-6</v>
      </c>
      <c r="S38" s="447">
        <f t="shared" si="10"/>
        <v>115.78775096055313</v>
      </c>
      <c r="T38" s="448">
        <f t="shared" si="11"/>
        <v>263.23007156819585</v>
      </c>
      <c r="W38">
        <v>14</v>
      </c>
      <c r="X38" s="293">
        <v>160.6168452886636</v>
      </c>
      <c r="Z38">
        <v>14</v>
      </c>
      <c r="AA38" s="293">
        <v>160.21521375532123</v>
      </c>
      <c r="AD38">
        <v>14</v>
      </c>
      <c r="AE38" s="293">
        <v>161.69202786555977</v>
      </c>
    </row>
    <row r="39" spans="1:31" x14ac:dyDescent="0.25">
      <c r="A39" s="298" t="s">
        <v>221</v>
      </c>
      <c r="B39" s="116">
        <v>2011</v>
      </c>
      <c r="C39" s="116">
        <v>35</v>
      </c>
      <c r="D39" s="116">
        <v>107.48</v>
      </c>
      <c r="E39" s="116">
        <f t="shared" si="3"/>
        <v>1.4908684308610773E-3</v>
      </c>
      <c r="F39" s="440">
        <v>107.48</v>
      </c>
      <c r="H39" s="298" t="s">
        <v>221</v>
      </c>
      <c r="I39" s="116">
        <v>2011</v>
      </c>
      <c r="J39" s="116">
        <v>35</v>
      </c>
      <c r="K39" s="444">
        <v>226.23</v>
      </c>
      <c r="L39" s="116">
        <f t="shared" si="4"/>
        <v>-8.4356133044197537E-4</v>
      </c>
      <c r="M39" s="445">
        <v>226.23</v>
      </c>
      <c r="O39" s="881"/>
      <c r="P39" s="444">
        <v>35</v>
      </c>
      <c r="Q39" s="444">
        <f t="shared" si="0"/>
        <v>129.24179456469537</v>
      </c>
      <c r="R39" s="116">
        <f t="shared" si="12"/>
        <v>9.1085213699999987E-6</v>
      </c>
      <c r="S39" s="447">
        <f t="shared" si="10"/>
        <v>115.78775096055313</v>
      </c>
      <c r="T39" s="448">
        <f t="shared" si="11"/>
        <v>263.23007156819585</v>
      </c>
      <c r="W39">
        <v>15</v>
      </c>
      <c r="X39" s="293">
        <v>162.17811380756027</v>
      </c>
      <c r="Z39">
        <v>15</v>
      </c>
      <c r="AA39" s="293">
        <v>161.83903684826382</v>
      </c>
      <c r="AD39">
        <v>15</v>
      </c>
      <c r="AE39" s="293">
        <v>163.09497430308485</v>
      </c>
    </row>
    <row r="40" spans="1:31" x14ac:dyDescent="0.25">
      <c r="A40" s="298" t="s">
        <v>222</v>
      </c>
      <c r="B40" s="116">
        <v>2011</v>
      </c>
      <c r="C40" s="116">
        <v>36</v>
      </c>
      <c r="D40" s="116">
        <v>107.29</v>
      </c>
      <c r="E40" s="116">
        <f t="shared" si="3"/>
        <v>-1.7677707480461269E-3</v>
      </c>
      <c r="F40" s="440">
        <v>107.29</v>
      </c>
      <c r="H40" s="298" t="s">
        <v>222</v>
      </c>
      <c r="I40" s="116">
        <v>2011</v>
      </c>
      <c r="J40" s="116">
        <v>36</v>
      </c>
      <c r="K40" s="444">
        <v>225.672</v>
      </c>
      <c r="L40" s="116">
        <f t="shared" si="4"/>
        <v>-2.4665163771382787E-3</v>
      </c>
      <c r="M40" s="445">
        <v>225.672</v>
      </c>
      <c r="O40" s="881"/>
      <c r="P40" s="444">
        <v>36</v>
      </c>
      <c r="Q40" s="444">
        <f t="shared" si="0"/>
        <v>129.24179456469537</v>
      </c>
      <c r="R40" s="116">
        <f t="shared" si="12"/>
        <v>9.1085213699999987E-6</v>
      </c>
      <c r="S40" s="447">
        <f t="shared" si="10"/>
        <v>115.78775096055313</v>
      </c>
      <c r="T40" s="448">
        <f t="shared" si="11"/>
        <v>263.23007156819585</v>
      </c>
      <c r="W40">
        <v>16</v>
      </c>
      <c r="X40" s="293">
        <v>165.12287406424343</v>
      </c>
      <c r="Z40">
        <v>16</v>
      </c>
      <c r="AA40" s="293">
        <v>164.78092803397112</v>
      </c>
      <c r="AD40">
        <v>16</v>
      </c>
      <c r="AE40" s="293">
        <v>166.05045411257086</v>
      </c>
    </row>
    <row r="41" spans="1:31" x14ac:dyDescent="0.25">
      <c r="A41" s="298" t="s">
        <v>211</v>
      </c>
      <c r="B41" s="116">
        <v>2012</v>
      </c>
      <c r="C41" s="116">
        <v>37</v>
      </c>
      <c r="D41" s="116">
        <v>107.65</v>
      </c>
      <c r="E41" s="116">
        <f t="shared" si="3"/>
        <v>3.3553919284183002E-3</v>
      </c>
      <c r="F41" s="440">
        <v>107.65</v>
      </c>
      <c r="H41" s="298" t="s">
        <v>211</v>
      </c>
      <c r="I41" s="116">
        <v>2012</v>
      </c>
      <c r="J41" s="116">
        <v>37</v>
      </c>
      <c r="K41" s="451">
        <v>226.655</v>
      </c>
      <c r="L41" s="116">
        <f t="shared" si="4"/>
        <v>4.3558793292920884E-3</v>
      </c>
      <c r="M41" s="452">
        <v>226.655</v>
      </c>
      <c r="N41" s="453"/>
      <c r="O41" s="884">
        <v>4</v>
      </c>
      <c r="P41" s="444">
        <v>37</v>
      </c>
      <c r="Q41" s="444">
        <f t="shared" si="0"/>
        <v>132.71060867541095</v>
      </c>
      <c r="R41" s="451">
        <f>'Análisis Econ CCGT Nuevo'!G29</f>
        <v>9.4118228099999998E-6</v>
      </c>
      <c r="S41" s="454">
        <f>$D$159</f>
        <v>117.26178247508686</v>
      </c>
      <c r="T41" s="455">
        <f>$K$159</f>
        <v>268.19214491420701</v>
      </c>
      <c r="U41" s="453"/>
      <c r="V41" s="453"/>
      <c r="W41" s="453">
        <v>17</v>
      </c>
      <c r="X41" s="293">
        <v>167.14457448356069</v>
      </c>
      <c r="Z41">
        <v>17</v>
      </c>
      <c r="AA41" s="293">
        <v>166.84779500272788</v>
      </c>
      <c r="AD41">
        <v>17</v>
      </c>
      <c r="AE41" s="293">
        <v>167.95892220815168</v>
      </c>
    </row>
    <row r="42" spans="1:31" x14ac:dyDescent="0.25">
      <c r="A42" s="298" t="s">
        <v>212</v>
      </c>
      <c r="B42" s="116">
        <v>2012</v>
      </c>
      <c r="C42" s="116">
        <v>38</v>
      </c>
      <c r="D42" s="116">
        <v>108</v>
      </c>
      <c r="E42" s="116">
        <f t="shared" si="3"/>
        <v>3.251277287505753E-3</v>
      </c>
      <c r="F42" s="440">
        <v>108</v>
      </c>
      <c r="H42" s="298" t="s">
        <v>212</v>
      </c>
      <c r="I42" s="116">
        <v>2012</v>
      </c>
      <c r="J42" s="116">
        <v>38</v>
      </c>
      <c r="K42" s="451">
        <v>227.66300000000001</v>
      </c>
      <c r="L42" s="116">
        <f t="shared" si="4"/>
        <v>4.4472877280448686E-3</v>
      </c>
      <c r="M42" s="452">
        <v>227.66300000000001</v>
      </c>
      <c r="O42" s="884"/>
      <c r="P42" s="444">
        <v>38</v>
      </c>
      <c r="Q42" s="444">
        <f t="shared" si="0"/>
        <v>132.71060867541095</v>
      </c>
      <c r="R42" s="116">
        <f>R41</f>
        <v>9.4118228099999998E-6</v>
      </c>
      <c r="S42" s="454">
        <f t="shared" ref="S42:S52" si="13">$D$159</f>
        <v>117.26178247508686</v>
      </c>
      <c r="T42" s="455">
        <f t="shared" ref="T42:T52" si="14">$K$159</f>
        <v>268.19214491420701</v>
      </c>
    </row>
    <row r="43" spans="1:31" x14ac:dyDescent="0.25">
      <c r="A43" s="298" t="s">
        <v>213</v>
      </c>
      <c r="B43" s="116">
        <v>2012</v>
      </c>
      <c r="C43" s="116">
        <v>39</v>
      </c>
      <c r="D43" s="116">
        <v>108.16</v>
      </c>
      <c r="E43" s="116">
        <f t="shared" si="3"/>
        <v>1.48148148148145E-3</v>
      </c>
      <c r="F43" s="440">
        <v>108.16</v>
      </c>
      <c r="H43" s="298" t="s">
        <v>213</v>
      </c>
      <c r="I43" s="116">
        <v>2012</v>
      </c>
      <c r="J43" s="116">
        <v>39</v>
      </c>
      <c r="K43" s="451">
        <v>229.392</v>
      </c>
      <c r="L43" s="116">
        <f t="shared" si="4"/>
        <v>7.5945586239309195E-3</v>
      </c>
      <c r="M43" s="452">
        <v>229.392</v>
      </c>
      <c r="O43" s="884"/>
      <c r="P43" s="444">
        <v>39</v>
      </c>
      <c r="Q43" s="444">
        <f t="shared" si="0"/>
        <v>132.71060867541095</v>
      </c>
      <c r="R43" s="116">
        <f t="shared" ref="R43:R52" si="15">R42</f>
        <v>9.4118228099999998E-6</v>
      </c>
      <c r="S43" s="454">
        <f t="shared" si="13"/>
        <v>117.26178247508686</v>
      </c>
      <c r="T43" s="455">
        <f t="shared" si="14"/>
        <v>268.19214491420701</v>
      </c>
    </row>
    <row r="44" spans="1:31" x14ac:dyDescent="0.25">
      <c r="A44" s="298" t="s">
        <v>214</v>
      </c>
      <c r="B44" s="116">
        <v>2012</v>
      </c>
      <c r="C44" s="116">
        <v>40</v>
      </c>
      <c r="D44" s="116">
        <v>108.83</v>
      </c>
      <c r="E44" s="116">
        <f t="shared" si="3"/>
        <v>6.1945266272189509E-3</v>
      </c>
      <c r="F44" s="440">
        <v>108.83</v>
      </c>
      <c r="H44" s="298" t="s">
        <v>214</v>
      </c>
      <c r="I44" s="116">
        <v>2012</v>
      </c>
      <c r="J44" s="116">
        <v>40</v>
      </c>
      <c r="K44" s="451">
        <v>230.08500000000001</v>
      </c>
      <c r="L44" s="116">
        <f t="shared" si="4"/>
        <v>3.0210295040804043E-3</v>
      </c>
      <c r="M44" s="452">
        <v>230.08500000000001</v>
      </c>
      <c r="O44" s="884"/>
      <c r="P44" s="444">
        <v>40</v>
      </c>
      <c r="Q44" s="444">
        <f t="shared" si="0"/>
        <v>132.71060867541095</v>
      </c>
      <c r="R44" s="116">
        <f t="shared" si="15"/>
        <v>9.4118228099999998E-6</v>
      </c>
      <c r="S44" s="454">
        <f t="shared" si="13"/>
        <v>117.26178247508686</v>
      </c>
      <c r="T44" s="455">
        <f t="shared" si="14"/>
        <v>268.19214491420701</v>
      </c>
    </row>
    <row r="45" spans="1:31" x14ac:dyDescent="0.25">
      <c r="A45" s="298" t="s">
        <v>215</v>
      </c>
      <c r="B45" s="116">
        <v>2012</v>
      </c>
      <c r="C45" s="116">
        <v>41</v>
      </c>
      <c r="D45" s="116">
        <v>108.53</v>
      </c>
      <c r="E45" s="116">
        <f t="shared" si="3"/>
        <v>-2.7565928512358466E-3</v>
      </c>
      <c r="F45" s="440">
        <v>108.53</v>
      </c>
      <c r="H45" s="298" t="s">
        <v>215</v>
      </c>
      <c r="I45" s="116">
        <v>2012</v>
      </c>
      <c r="J45" s="116">
        <v>41</v>
      </c>
      <c r="K45" s="451">
        <v>229.815</v>
      </c>
      <c r="L45" s="116">
        <f t="shared" si="4"/>
        <v>-1.1734793663211866E-3</v>
      </c>
      <c r="M45" s="452">
        <v>229.815</v>
      </c>
      <c r="O45" s="884"/>
      <c r="P45" s="444">
        <v>41</v>
      </c>
      <c r="Q45" s="444">
        <f t="shared" si="0"/>
        <v>132.71060867541095</v>
      </c>
      <c r="R45" s="116">
        <f t="shared" si="15"/>
        <v>9.4118228099999998E-6</v>
      </c>
      <c r="S45" s="454">
        <f t="shared" si="13"/>
        <v>117.26178247508686</v>
      </c>
      <c r="T45" s="455">
        <f t="shared" si="14"/>
        <v>268.19214491420701</v>
      </c>
    </row>
    <row r="46" spans="1:31" x14ac:dyDescent="0.25">
      <c r="A46" s="298" t="s">
        <v>216</v>
      </c>
      <c r="B46" s="116">
        <v>2012</v>
      </c>
      <c r="C46" s="116">
        <v>42</v>
      </c>
      <c r="D46" s="116">
        <v>107.94</v>
      </c>
      <c r="E46" s="116">
        <f t="shared" si="3"/>
        <v>-5.4362848981848655E-3</v>
      </c>
      <c r="F46" s="440">
        <v>107.94</v>
      </c>
      <c r="H46" s="298" t="s">
        <v>216</v>
      </c>
      <c r="I46" s="116">
        <v>2012</v>
      </c>
      <c r="J46" s="116">
        <v>42</v>
      </c>
      <c r="K46" s="451">
        <v>229.47800000000001</v>
      </c>
      <c r="L46" s="116">
        <f t="shared" si="4"/>
        <v>-1.4663968844504888E-3</v>
      </c>
      <c r="M46" s="452">
        <v>229.47800000000001</v>
      </c>
      <c r="O46" s="884"/>
      <c r="P46" s="444">
        <v>42</v>
      </c>
      <c r="Q46" s="444">
        <f t="shared" si="0"/>
        <v>132.71060867541095</v>
      </c>
      <c r="R46" s="116">
        <f t="shared" si="15"/>
        <v>9.4118228099999998E-6</v>
      </c>
      <c r="S46" s="454">
        <f t="shared" si="13"/>
        <v>117.26178247508686</v>
      </c>
      <c r="T46" s="455">
        <f t="shared" si="14"/>
        <v>268.19214491420701</v>
      </c>
    </row>
    <row r="47" spans="1:31" x14ac:dyDescent="0.25">
      <c r="A47" s="298" t="s">
        <v>217</v>
      </c>
      <c r="B47" s="116">
        <v>2012</v>
      </c>
      <c r="C47" s="116">
        <v>43</v>
      </c>
      <c r="D47" s="116">
        <v>107.61</v>
      </c>
      <c r="E47" s="116">
        <f t="shared" si="3"/>
        <v>-3.0572540300166603E-3</v>
      </c>
      <c r="F47" s="440">
        <v>107.61</v>
      </c>
      <c r="H47" s="298" t="s">
        <v>217</v>
      </c>
      <c r="I47" s="116">
        <v>2012</v>
      </c>
      <c r="J47" s="116">
        <v>43</v>
      </c>
      <c r="K47" s="451">
        <v>229.10400000000001</v>
      </c>
      <c r="L47" s="116">
        <f t="shared" si="4"/>
        <v>-1.6297858618255136E-3</v>
      </c>
      <c r="M47" s="452">
        <v>229.10400000000001</v>
      </c>
      <c r="O47" s="884"/>
      <c r="P47" s="444">
        <v>43</v>
      </c>
      <c r="Q47" s="444">
        <f t="shared" si="0"/>
        <v>132.71060867541095</v>
      </c>
      <c r="R47" s="116">
        <f t="shared" si="15"/>
        <v>9.4118228099999998E-6</v>
      </c>
      <c r="S47" s="454">
        <f t="shared" si="13"/>
        <v>117.26178247508686</v>
      </c>
      <c r="T47" s="455">
        <f t="shared" si="14"/>
        <v>268.19214491420701</v>
      </c>
    </row>
    <row r="48" spans="1:31" x14ac:dyDescent="0.25">
      <c r="A48" s="298" t="s">
        <v>218</v>
      </c>
      <c r="B48" s="116">
        <v>2012</v>
      </c>
      <c r="C48" s="116">
        <v>44</v>
      </c>
      <c r="D48" s="116">
        <v>107.8</v>
      </c>
      <c r="E48" s="116">
        <f t="shared" si="3"/>
        <v>1.7656351640181929E-3</v>
      </c>
      <c r="F48" s="440">
        <v>107.8</v>
      </c>
      <c r="H48" s="298" t="s">
        <v>218</v>
      </c>
      <c r="I48" s="116">
        <v>2012</v>
      </c>
      <c r="J48" s="116">
        <v>44</v>
      </c>
      <c r="K48" s="451">
        <v>230.37899999999999</v>
      </c>
      <c r="L48" s="116">
        <f t="shared" si="4"/>
        <v>5.5651581814371515E-3</v>
      </c>
      <c r="M48" s="452">
        <v>230.37899999999999</v>
      </c>
      <c r="O48" s="884"/>
      <c r="P48" s="444">
        <v>44</v>
      </c>
      <c r="Q48" s="444">
        <f t="shared" si="0"/>
        <v>132.71060867541095</v>
      </c>
      <c r="R48" s="116">
        <f t="shared" si="15"/>
        <v>9.4118228099999998E-6</v>
      </c>
      <c r="S48" s="454">
        <f t="shared" si="13"/>
        <v>117.26178247508686</v>
      </c>
      <c r="T48" s="455">
        <f t="shared" si="14"/>
        <v>268.19214491420701</v>
      </c>
    </row>
    <row r="49" spans="1:23" x14ac:dyDescent="0.25">
      <c r="A49" s="298" t="s">
        <v>219</v>
      </c>
      <c r="B49" s="116">
        <v>2012</v>
      </c>
      <c r="C49" s="116">
        <v>45</v>
      </c>
      <c r="D49" s="116">
        <v>108.24</v>
      </c>
      <c r="E49" s="116">
        <f t="shared" si="3"/>
        <v>4.0816326530612032E-3</v>
      </c>
      <c r="F49" s="440">
        <v>108.24</v>
      </c>
      <c r="H49" s="298" t="s">
        <v>219</v>
      </c>
      <c r="I49" s="116">
        <v>2012</v>
      </c>
      <c r="J49" s="116">
        <v>45</v>
      </c>
      <c r="K49" s="451">
        <v>231.40700000000001</v>
      </c>
      <c r="L49" s="116">
        <f t="shared" si="4"/>
        <v>4.462212267611284E-3</v>
      </c>
      <c r="M49" s="452">
        <v>231.40700000000001</v>
      </c>
      <c r="O49" s="884"/>
      <c r="P49" s="444">
        <v>45</v>
      </c>
      <c r="Q49" s="444">
        <f t="shared" si="0"/>
        <v>132.71060867541095</v>
      </c>
      <c r="R49" s="116">
        <f t="shared" si="15"/>
        <v>9.4118228099999998E-6</v>
      </c>
      <c r="S49" s="454">
        <f t="shared" si="13"/>
        <v>117.26178247508686</v>
      </c>
      <c r="T49" s="455">
        <f t="shared" si="14"/>
        <v>268.19214491420701</v>
      </c>
    </row>
    <row r="50" spans="1:23" x14ac:dyDescent="0.25">
      <c r="A50" s="298" t="s">
        <v>220</v>
      </c>
      <c r="B50" s="116">
        <v>2012</v>
      </c>
      <c r="C50" s="116">
        <v>46</v>
      </c>
      <c r="D50" s="116">
        <v>108.34</v>
      </c>
      <c r="E50" s="116">
        <f t="shared" si="3"/>
        <v>9.2387287509246611E-4</v>
      </c>
      <c r="F50" s="440">
        <v>108.34</v>
      </c>
      <c r="H50" s="298" t="s">
        <v>220</v>
      </c>
      <c r="I50" s="116">
        <v>2012</v>
      </c>
      <c r="J50" s="116">
        <v>46</v>
      </c>
      <c r="K50" s="451">
        <v>231.31700000000001</v>
      </c>
      <c r="L50" s="116">
        <f t="shared" si="4"/>
        <v>-3.8892514055323911E-4</v>
      </c>
      <c r="M50" s="452">
        <v>231.31700000000001</v>
      </c>
      <c r="O50" s="884"/>
      <c r="P50" s="444">
        <v>46</v>
      </c>
      <c r="Q50" s="444">
        <f t="shared" si="0"/>
        <v>132.71060867541095</v>
      </c>
      <c r="R50" s="116">
        <f t="shared" si="15"/>
        <v>9.4118228099999998E-6</v>
      </c>
      <c r="S50" s="454">
        <f t="shared" si="13"/>
        <v>117.26178247508686</v>
      </c>
      <c r="T50" s="455">
        <f t="shared" si="14"/>
        <v>268.19214491420701</v>
      </c>
    </row>
    <row r="51" spans="1:23" x14ac:dyDescent="0.25">
      <c r="A51" s="298" t="s">
        <v>221</v>
      </c>
      <c r="B51" s="116">
        <v>2012</v>
      </c>
      <c r="C51" s="116">
        <v>47</v>
      </c>
      <c r="D51" s="116">
        <v>108.18</v>
      </c>
      <c r="E51" s="116">
        <f t="shared" si="3"/>
        <v>-1.4768321949418183E-3</v>
      </c>
      <c r="F51" s="440">
        <v>108.18</v>
      </c>
      <c r="H51" s="298" t="s">
        <v>221</v>
      </c>
      <c r="I51" s="116">
        <v>2012</v>
      </c>
      <c r="J51" s="116">
        <v>47</v>
      </c>
      <c r="K51" s="451">
        <v>230.221</v>
      </c>
      <c r="L51" s="116">
        <f t="shared" si="4"/>
        <v>-4.7380866948819305E-3</v>
      </c>
      <c r="M51" s="452">
        <v>230.221</v>
      </c>
      <c r="O51" s="884"/>
      <c r="P51" s="444">
        <v>47</v>
      </c>
      <c r="Q51" s="444">
        <f t="shared" si="0"/>
        <v>132.71060867541095</v>
      </c>
      <c r="R51" s="116">
        <f t="shared" si="15"/>
        <v>9.4118228099999998E-6</v>
      </c>
      <c r="S51" s="454">
        <f t="shared" si="13"/>
        <v>117.26178247508686</v>
      </c>
      <c r="T51" s="455">
        <f t="shared" si="14"/>
        <v>268.19214491420701</v>
      </c>
    </row>
    <row r="52" spans="1:23" x14ac:dyDescent="0.25">
      <c r="A52" s="298" t="s">
        <v>222</v>
      </c>
      <c r="B52" s="116">
        <v>2012</v>
      </c>
      <c r="C52" s="116">
        <v>48</v>
      </c>
      <c r="D52" s="116">
        <v>108.13</v>
      </c>
      <c r="E52" s="116">
        <f t="shared" si="3"/>
        <v>-4.6219264189324613E-4</v>
      </c>
      <c r="F52" s="440">
        <v>108.13</v>
      </c>
      <c r="H52" s="298" t="s">
        <v>222</v>
      </c>
      <c r="I52" s="116">
        <v>2012</v>
      </c>
      <c r="J52" s="116">
        <v>48</v>
      </c>
      <c r="K52" s="451">
        <v>229.601</v>
      </c>
      <c r="L52" s="116">
        <f t="shared" si="4"/>
        <v>-2.6930644902072552E-3</v>
      </c>
      <c r="M52" s="452">
        <v>229.601</v>
      </c>
      <c r="O52" s="884"/>
      <c r="P52" s="444">
        <v>48</v>
      </c>
      <c r="Q52" s="444">
        <f t="shared" si="0"/>
        <v>132.71060867541095</v>
      </c>
      <c r="R52" s="116">
        <f t="shared" si="15"/>
        <v>9.4118228099999998E-6</v>
      </c>
      <c r="S52" s="454">
        <f t="shared" si="13"/>
        <v>117.26178247508686</v>
      </c>
      <c r="T52" s="455">
        <f t="shared" si="14"/>
        <v>268.19214491420701</v>
      </c>
    </row>
    <row r="53" spans="1:23" x14ac:dyDescent="0.25">
      <c r="A53" s="298" t="s">
        <v>211</v>
      </c>
      <c r="B53" s="116">
        <v>2013</v>
      </c>
      <c r="C53" s="116">
        <v>49</v>
      </c>
      <c r="D53" s="116">
        <v>108.59</v>
      </c>
      <c r="E53" s="116">
        <f t="shared" si="3"/>
        <v>4.2541385369463417E-3</v>
      </c>
      <c r="F53" s="440">
        <v>108.59</v>
      </c>
      <c r="H53" s="298" t="s">
        <v>211</v>
      </c>
      <c r="I53" s="116">
        <v>2013</v>
      </c>
      <c r="J53" s="116">
        <v>49</v>
      </c>
      <c r="K53" s="444">
        <v>230.28</v>
      </c>
      <c r="L53" s="116">
        <f t="shared" si="4"/>
        <v>2.9573041929259981E-3</v>
      </c>
      <c r="M53" s="445">
        <v>230.28</v>
      </c>
      <c r="N53" s="446"/>
      <c r="O53" s="885">
        <v>5</v>
      </c>
      <c r="P53" s="444">
        <v>49</v>
      </c>
      <c r="Q53" s="444">
        <f t="shared" si="0"/>
        <v>135.20420354729083</v>
      </c>
      <c r="R53" s="444">
        <f>'Análisis Econ CCGT Nuevo'!G30</f>
        <v>9.59190804E-6</v>
      </c>
      <c r="S53" s="447">
        <f>$D$171</f>
        <v>118.75457909117767</v>
      </c>
      <c r="T53" s="448">
        <f>$K$171</f>
        <v>273.24775685838995</v>
      </c>
      <c r="U53" s="446"/>
      <c r="V53" s="446"/>
      <c r="W53" s="446"/>
    </row>
    <row r="54" spans="1:23" x14ac:dyDescent="0.25">
      <c r="A54" s="298" t="s">
        <v>212</v>
      </c>
      <c r="B54" s="116">
        <v>2013</v>
      </c>
      <c r="C54" s="116">
        <v>50</v>
      </c>
      <c r="D54" s="116">
        <v>109.05</v>
      </c>
      <c r="E54" s="116">
        <f t="shared" si="3"/>
        <v>4.2361175062159842E-3</v>
      </c>
      <c r="F54" s="440">
        <v>109.05</v>
      </c>
      <c r="H54" s="298" t="s">
        <v>212</v>
      </c>
      <c r="I54" s="116">
        <v>2013</v>
      </c>
      <c r="J54" s="116">
        <v>50</v>
      </c>
      <c r="K54" s="444">
        <v>232.166</v>
      </c>
      <c r="L54" s="116">
        <f t="shared" si="4"/>
        <v>8.190029529268698E-3</v>
      </c>
      <c r="M54" s="445">
        <v>232.166</v>
      </c>
      <c r="O54" s="885"/>
      <c r="P54" s="444">
        <v>50</v>
      </c>
      <c r="Q54" s="444">
        <f t="shared" si="0"/>
        <v>135.20420354729083</v>
      </c>
      <c r="R54" s="116">
        <f>R53</f>
        <v>9.59190804E-6</v>
      </c>
      <c r="S54" s="447">
        <f t="shared" ref="S54:S64" si="16">$D$171</f>
        <v>118.75457909117767</v>
      </c>
      <c r="T54" s="448">
        <f t="shared" ref="T54:T64" si="17">$K$171</f>
        <v>273.24775685838995</v>
      </c>
    </row>
    <row r="55" spans="1:23" x14ac:dyDescent="0.25">
      <c r="A55" s="298" t="s">
        <v>213</v>
      </c>
      <c r="B55" s="116">
        <v>2013</v>
      </c>
      <c r="C55" s="116">
        <v>51</v>
      </c>
      <c r="D55" s="116">
        <v>109.54</v>
      </c>
      <c r="E55" s="116">
        <f t="shared" si="3"/>
        <v>4.4933516735443293E-3</v>
      </c>
      <c r="F55" s="440">
        <v>109.54</v>
      </c>
      <c r="H55" s="298" t="s">
        <v>213</v>
      </c>
      <c r="I55" s="116">
        <v>2013</v>
      </c>
      <c r="J55" s="116">
        <v>51</v>
      </c>
      <c r="K55" s="444">
        <v>232.773</v>
      </c>
      <c r="L55" s="116">
        <f t="shared" si="4"/>
        <v>2.6145085843749701E-3</v>
      </c>
      <c r="M55" s="445">
        <v>232.773</v>
      </c>
      <c r="O55" s="885"/>
      <c r="P55" s="444">
        <v>51</v>
      </c>
      <c r="Q55" s="444">
        <f t="shared" si="0"/>
        <v>135.20420354729083</v>
      </c>
      <c r="R55" s="116">
        <f t="shared" ref="R55:R64" si="18">R54</f>
        <v>9.59190804E-6</v>
      </c>
      <c r="S55" s="447">
        <f t="shared" si="16"/>
        <v>118.75457909117767</v>
      </c>
      <c r="T55" s="448">
        <f t="shared" si="17"/>
        <v>273.24775685838995</v>
      </c>
    </row>
    <row r="56" spans="1:23" x14ac:dyDescent="0.25">
      <c r="A56" s="298" t="s">
        <v>214</v>
      </c>
      <c r="B56" s="116">
        <v>2013</v>
      </c>
      <c r="C56" s="116">
        <v>52</v>
      </c>
      <c r="D56" s="116">
        <v>108.85</v>
      </c>
      <c r="E56" s="116">
        <f t="shared" si="3"/>
        <v>-6.2990688333030113E-3</v>
      </c>
      <c r="F56" s="440">
        <v>108.85</v>
      </c>
      <c r="H56" s="298" t="s">
        <v>214</v>
      </c>
      <c r="I56" s="116">
        <v>2013</v>
      </c>
      <c r="J56" s="116">
        <v>52</v>
      </c>
      <c r="K56" s="444">
        <v>232.53100000000001</v>
      </c>
      <c r="L56" s="116">
        <f t="shared" si="4"/>
        <v>-1.0396394770870773E-3</v>
      </c>
      <c r="M56" s="445">
        <v>232.53100000000001</v>
      </c>
      <c r="O56" s="885"/>
      <c r="P56" s="444">
        <v>52</v>
      </c>
      <c r="Q56" s="444">
        <f t="shared" si="0"/>
        <v>135.20420354729083</v>
      </c>
      <c r="R56" s="116">
        <f t="shared" si="18"/>
        <v>9.59190804E-6</v>
      </c>
      <c r="S56" s="447">
        <f t="shared" si="16"/>
        <v>118.75457909117767</v>
      </c>
      <c r="T56" s="448">
        <f t="shared" si="17"/>
        <v>273.24775685838995</v>
      </c>
    </row>
    <row r="57" spans="1:23" x14ac:dyDescent="0.25">
      <c r="A57" s="298" t="s">
        <v>215</v>
      </c>
      <c r="B57" s="116">
        <v>2013</v>
      </c>
      <c r="C57" s="116">
        <v>53</v>
      </c>
      <c r="D57" s="116">
        <v>108.69</v>
      </c>
      <c r="E57" s="116">
        <f t="shared" si="3"/>
        <v>-1.4699127239319852E-3</v>
      </c>
      <c r="F57" s="440">
        <v>108.69</v>
      </c>
      <c r="H57" s="298" t="s">
        <v>215</v>
      </c>
      <c r="I57" s="116">
        <v>2013</v>
      </c>
      <c r="J57" s="116">
        <v>53</v>
      </c>
      <c r="K57" s="444">
        <v>232.94499999999999</v>
      </c>
      <c r="L57" s="116">
        <f t="shared" si="4"/>
        <v>1.7804077735871229E-3</v>
      </c>
      <c r="M57" s="445">
        <v>232.94499999999999</v>
      </c>
      <c r="O57" s="885"/>
      <c r="P57" s="444">
        <v>53</v>
      </c>
      <c r="Q57" s="444">
        <f t="shared" si="0"/>
        <v>135.20420354729083</v>
      </c>
      <c r="R57" s="116">
        <f t="shared" si="18"/>
        <v>9.59190804E-6</v>
      </c>
      <c r="S57" s="447">
        <f t="shared" si="16"/>
        <v>118.75457909117767</v>
      </c>
      <c r="T57" s="448">
        <f t="shared" si="17"/>
        <v>273.24775685838995</v>
      </c>
    </row>
    <row r="58" spans="1:23" x14ac:dyDescent="0.25">
      <c r="A58" s="298" t="s">
        <v>216</v>
      </c>
      <c r="B58" s="116">
        <v>2013</v>
      </c>
      <c r="C58" s="116">
        <v>54</v>
      </c>
      <c r="D58" s="116">
        <v>108.91</v>
      </c>
      <c r="E58" s="116">
        <f t="shared" si="3"/>
        <v>2.02410525347317E-3</v>
      </c>
      <c r="F58" s="440">
        <v>108.91</v>
      </c>
      <c r="H58" s="298" t="s">
        <v>216</v>
      </c>
      <c r="I58" s="116">
        <v>2013</v>
      </c>
      <c r="J58" s="116">
        <v>54</v>
      </c>
      <c r="K58" s="444">
        <v>233.50399999999999</v>
      </c>
      <c r="L58" s="116">
        <f t="shared" si="4"/>
        <v>2.3997080855995942E-3</v>
      </c>
      <c r="M58" s="445">
        <v>233.50399999999999</v>
      </c>
      <c r="O58" s="885"/>
      <c r="P58" s="444">
        <v>54</v>
      </c>
      <c r="Q58" s="444">
        <f t="shared" si="0"/>
        <v>135.20420354729083</v>
      </c>
      <c r="R58" s="116">
        <f t="shared" si="18"/>
        <v>9.59190804E-6</v>
      </c>
      <c r="S58" s="447">
        <f t="shared" si="16"/>
        <v>118.75457909117767</v>
      </c>
      <c r="T58" s="448">
        <f t="shared" si="17"/>
        <v>273.24775685838995</v>
      </c>
    </row>
    <row r="59" spans="1:23" x14ac:dyDescent="0.25">
      <c r="A59" s="298" t="s">
        <v>217</v>
      </c>
      <c r="B59" s="116">
        <v>2013</v>
      </c>
      <c r="C59" s="116">
        <v>55</v>
      </c>
      <c r="D59" s="116">
        <v>108.78</v>
      </c>
      <c r="E59" s="116">
        <f t="shared" si="3"/>
        <v>-1.1936461298319297E-3</v>
      </c>
      <c r="F59" s="440">
        <v>108.78</v>
      </c>
      <c r="H59" s="298" t="s">
        <v>217</v>
      </c>
      <c r="I59" s="116">
        <v>2013</v>
      </c>
      <c r="J59" s="116">
        <v>55</v>
      </c>
      <c r="K59" s="444">
        <v>233.596</v>
      </c>
      <c r="L59" s="116">
        <f t="shared" si="4"/>
        <v>3.9399753323289094E-4</v>
      </c>
      <c r="M59" s="445">
        <v>233.596</v>
      </c>
      <c r="O59" s="885"/>
      <c r="P59" s="444">
        <v>55</v>
      </c>
      <c r="Q59" s="444">
        <f t="shared" si="0"/>
        <v>135.20420354729083</v>
      </c>
      <c r="R59" s="116">
        <f t="shared" si="18"/>
        <v>9.59190804E-6</v>
      </c>
      <c r="S59" s="447">
        <f t="shared" si="16"/>
        <v>118.75457909117767</v>
      </c>
      <c r="T59" s="448">
        <f t="shared" si="17"/>
        <v>273.24775685838995</v>
      </c>
    </row>
    <row r="60" spans="1:23" x14ac:dyDescent="0.25">
      <c r="A60" s="298" t="s">
        <v>218</v>
      </c>
      <c r="B60" s="116">
        <v>2013</v>
      </c>
      <c r="C60" s="116">
        <v>56</v>
      </c>
      <c r="D60" s="116">
        <v>108.87</v>
      </c>
      <c r="E60" s="116">
        <f t="shared" si="3"/>
        <v>8.2735797021514436E-4</v>
      </c>
      <c r="F60" s="440">
        <v>108.87</v>
      </c>
      <c r="H60" s="298" t="s">
        <v>218</v>
      </c>
      <c r="I60" s="116">
        <v>2013</v>
      </c>
      <c r="J60" s="116">
        <v>56</v>
      </c>
      <c r="K60" s="444">
        <v>233.87700000000001</v>
      </c>
      <c r="L60" s="116">
        <f t="shared" si="4"/>
        <v>1.2029315570472349E-3</v>
      </c>
      <c r="M60" s="445">
        <v>233.87700000000001</v>
      </c>
      <c r="O60" s="885"/>
      <c r="P60" s="444">
        <v>56</v>
      </c>
      <c r="Q60" s="444">
        <f t="shared" si="0"/>
        <v>135.20420354729083</v>
      </c>
      <c r="R60" s="116">
        <f t="shared" si="18"/>
        <v>9.59190804E-6</v>
      </c>
      <c r="S60" s="447">
        <f t="shared" si="16"/>
        <v>118.75457909117767</v>
      </c>
      <c r="T60" s="448">
        <f t="shared" si="17"/>
        <v>273.24775685838995</v>
      </c>
    </row>
    <row r="61" spans="1:23" x14ac:dyDescent="0.25">
      <c r="A61" s="298" t="s">
        <v>219</v>
      </c>
      <c r="B61" s="116">
        <v>2013</v>
      </c>
      <c r="C61" s="116">
        <v>57</v>
      </c>
      <c r="D61" s="116">
        <v>109.06</v>
      </c>
      <c r="E61" s="116">
        <f t="shared" si="3"/>
        <v>1.7452006980802582E-3</v>
      </c>
      <c r="F61" s="440">
        <v>109.06</v>
      </c>
      <c r="H61" s="298" t="s">
        <v>219</v>
      </c>
      <c r="I61" s="116">
        <v>2013</v>
      </c>
      <c r="J61" s="116">
        <v>57</v>
      </c>
      <c r="K61" s="444">
        <v>234.149</v>
      </c>
      <c r="L61" s="116">
        <f t="shared" si="4"/>
        <v>1.1630044852635846E-3</v>
      </c>
      <c r="M61" s="445">
        <v>234.149</v>
      </c>
      <c r="O61" s="885"/>
      <c r="P61" s="444">
        <v>57</v>
      </c>
      <c r="Q61" s="444">
        <f t="shared" si="0"/>
        <v>135.20420354729083</v>
      </c>
      <c r="R61" s="116">
        <f t="shared" si="18"/>
        <v>9.59190804E-6</v>
      </c>
      <c r="S61" s="447">
        <f t="shared" si="16"/>
        <v>118.75457909117767</v>
      </c>
      <c r="T61" s="448">
        <f t="shared" si="17"/>
        <v>273.24775685838995</v>
      </c>
    </row>
    <row r="62" spans="1:23" x14ac:dyDescent="0.25">
      <c r="A62" s="298" t="s">
        <v>220</v>
      </c>
      <c r="B62" s="116">
        <v>2013</v>
      </c>
      <c r="C62" s="116">
        <v>58</v>
      </c>
      <c r="D62" s="116">
        <v>108.91</v>
      </c>
      <c r="E62" s="116">
        <f t="shared" si="3"/>
        <v>-1.3753896937466136E-3</v>
      </c>
      <c r="F62" s="440">
        <v>108.91</v>
      </c>
      <c r="H62" s="298" t="s">
        <v>220</v>
      </c>
      <c r="I62" s="116">
        <v>2013</v>
      </c>
      <c r="J62" s="116">
        <v>58</v>
      </c>
      <c r="K62" s="444">
        <v>233.54599999999999</v>
      </c>
      <c r="L62" s="116">
        <f t="shared" si="4"/>
        <v>-2.575283259804691E-3</v>
      </c>
      <c r="M62" s="445">
        <v>233.54599999999999</v>
      </c>
      <c r="O62" s="885"/>
      <c r="P62" s="444">
        <v>58</v>
      </c>
      <c r="Q62" s="444">
        <f t="shared" si="0"/>
        <v>135.20420354729083</v>
      </c>
      <c r="R62" s="116">
        <f t="shared" si="18"/>
        <v>9.59190804E-6</v>
      </c>
      <c r="S62" s="447">
        <f t="shared" si="16"/>
        <v>118.75457909117767</v>
      </c>
      <c r="T62" s="448">
        <f t="shared" si="17"/>
        <v>273.24775685838995</v>
      </c>
    </row>
    <row r="63" spans="1:23" x14ac:dyDescent="0.25">
      <c r="A63" s="298" t="s">
        <v>221</v>
      </c>
      <c r="B63" s="116">
        <v>2013</v>
      </c>
      <c r="C63" s="116">
        <v>59</v>
      </c>
      <c r="D63" s="116">
        <v>109</v>
      </c>
      <c r="E63" s="116">
        <f t="shared" si="3"/>
        <v>8.2637039757601149E-4</v>
      </c>
      <c r="F63" s="440">
        <v>109</v>
      </c>
      <c r="H63" s="298" t="s">
        <v>221</v>
      </c>
      <c r="I63" s="116">
        <v>2013</v>
      </c>
      <c r="J63" s="116">
        <v>59</v>
      </c>
      <c r="K63" s="444">
        <v>233.06899999999999</v>
      </c>
      <c r="L63" s="116">
        <f t="shared" si="4"/>
        <v>-2.0424241905235107E-3</v>
      </c>
      <c r="M63" s="445">
        <v>233.06899999999999</v>
      </c>
      <c r="O63" s="885"/>
      <c r="P63" s="444">
        <v>59</v>
      </c>
      <c r="Q63" s="444">
        <f t="shared" si="0"/>
        <v>135.20420354729083</v>
      </c>
      <c r="R63" s="116">
        <f t="shared" si="18"/>
        <v>9.59190804E-6</v>
      </c>
      <c r="S63" s="447">
        <f t="shared" si="16"/>
        <v>118.75457909117767</v>
      </c>
      <c r="T63" s="448">
        <f t="shared" si="17"/>
        <v>273.24775685838995</v>
      </c>
    </row>
    <row r="64" spans="1:23" x14ac:dyDescent="0.25">
      <c r="A64" s="298" t="s">
        <v>222</v>
      </c>
      <c r="B64" s="116">
        <v>2013</v>
      </c>
      <c r="C64" s="116">
        <v>60</v>
      </c>
      <c r="D64" s="116">
        <v>108.99</v>
      </c>
      <c r="E64" s="116">
        <f t="shared" si="3"/>
        <v>-9.1743119266101978E-5</v>
      </c>
      <c r="F64" s="440">
        <v>108.99</v>
      </c>
      <c r="H64" s="298" t="s">
        <v>222</v>
      </c>
      <c r="I64" s="116">
        <v>2013</v>
      </c>
      <c r="J64" s="116">
        <v>60</v>
      </c>
      <c r="K64" s="444">
        <v>233.04900000000001</v>
      </c>
      <c r="L64" s="116">
        <f t="shared" si="4"/>
        <v>-8.581149788252325E-5</v>
      </c>
      <c r="M64" s="445">
        <v>233.04900000000001</v>
      </c>
      <c r="O64" s="885"/>
      <c r="P64" s="444">
        <v>60</v>
      </c>
      <c r="Q64" s="444">
        <f t="shared" si="0"/>
        <v>135.20420354729083</v>
      </c>
      <c r="R64" s="116">
        <f t="shared" si="18"/>
        <v>9.59190804E-6</v>
      </c>
      <c r="S64" s="447">
        <f t="shared" si="16"/>
        <v>118.75457909117767</v>
      </c>
      <c r="T64" s="448">
        <f t="shared" si="17"/>
        <v>273.24775685838995</v>
      </c>
    </row>
    <row r="65" spans="1:23" x14ac:dyDescent="0.25">
      <c r="A65" s="298" t="s">
        <v>211</v>
      </c>
      <c r="B65" s="116">
        <v>2014</v>
      </c>
      <c r="C65" s="116">
        <v>61</v>
      </c>
      <c r="D65" s="116">
        <v>109.51</v>
      </c>
      <c r="E65" s="116">
        <f t="shared" si="3"/>
        <v>4.7710799155886805E-3</v>
      </c>
      <c r="F65" s="440">
        <v>109.51</v>
      </c>
      <c r="H65" s="298" t="s">
        <v>211</v>
      </c>
      <c r="I65" s="116">
        <v>2014</v>
      </c>
      <c r="J65" s="116">
        <v>61</v>
      </c>
      <c r="K65" s="451">
        <v>233.916</v>
      </c>
      <c r="L65" s="116">
        <f t="shared" si="4"/>
        <v>3.7202476732360584E-3</v>
      </c>
      <c r="M65" s="452">
        <v>233.916</v>
      </c>
      <c r="N65" s="453"/>
      <c r="O65" s="884">
        <v>6</v>
      </c>
      <c r="P65" s="444">
        <v>61</v>
      </c>
      <c r="Q65" s="444">
        <f t="shared" si="0"/>
        <v>137.64056902381861</v>
      </c>
      <c r="R65" s="451">
        <f>'Análisis Econ CCGT Nuevo'!G31</f>
        <v>9.7625151000000011E-6</v>
      </c>
      <c r="S65" s="454">
        <f>$D$183</f>
        <v>120.26637969722988</v>
      </c>
      <c r="T65" s="455">
        <f>$K$183</f>
        <v>278.39867066959198</v>
      </c>
      <c r="U65" s="453"/>
      <c r="V65" s="453"/>
      <c r="W65" s="453"/>
    </row>
    <row r="66" spans="1:23" x14ac:dyDescent="0.25">
      <c r="A66" s="298" t="s">
        <v>212</v>
      </c>
      <c r="B66" s="116">
        <v>2014</v>
      </c>
      <c r="C66" s="116">
        <v>62</v>
      </c>
      <c r="D66" s="116">
        <v>109.72</v>
      </c>
      <c r="E66" s="116">
        <f t="shared" si="3"/>
        <v>1.9176330928681741E-3</v>
      </c>
      <c r="F66" s="440">
        <v>109.72</v>
      </c>
      <c r="H66" s="298" t="s">
        <v>212</v>
      </c>
      <c r="I66" s="116">
        <v>2014</v>
      </c>
      <c r="J66" s="116">
        <v>62</v>
      </c>
      <c r="K66" s="451">
        <v>234.78100000000001</v>
      </c>
      <c r="L66" s="116">
        <f t="shared" si="4"/>
        <v>3.6979086509687626E-3</v>
      </c>
      <c r="M66" s="452">
        <v>234.78100000000001</v>
      </c>
      <c r="O66" s="884"/>
      <c r="P66" s="444">
        <v>62</v>
      </c>
      <c r="Q66" s="444">
        <f t="shared" si="0"/>
        <v>137.64056902381861</v>
      </c>
      <c r="R66" s="116">
        <f>R65</f>
        <v>9.7625151000000011E-6</v>
      </c>
      <c r="S66" s="454">
        <f t="shared" ref="S66:S76" si="19">$D$183</f>
        <v>120.26637969722988</v>
      </c>
      <c r="T66" s="455">
        <f t="shared" ref="T66:T76" si="20">$K$183</f>
        <v>278.39867066959198</v>
      </c>
    </row>
    <row r="67" spans="1:23" x14ac:dyDescent="0.25">
      <c r="A67" s="298" t="s">
        <v>213</v>
      </c>
      <c r="B67" s="116">
        <v>2014</v>
      </c>
      <c r="C67" s="116">
        <v>63</v>
      </c>
      <c r="D67" s="116">
        <v>109.99</v>
      </c>
      <c r="E67" s="116">
        <f t="shared" si="3"/>
        <v>2.4608093328472112E-3</v>
      </c>
      <c r="F67" s="440">
        <v>109.99</v>
      </c>
      <c r="H67" s="298" t="s">
        <v>213</v>
      </c>
      <c r="I67" s="116">
        <v>2014</v>
      </c>
      <c r="J67" s="116">
        <v>63</v>
      </c>
      <c r="K67" s="451">
        <v>236.29300000000001</v>
      </c>
      <c r="L67" s="116">
        <f t="shared" si="4"/>
        <v>6.4400441262282742E-3</v>
      </c>
      <c r="M67" s="452">
        <v>236.29300000000001</v>
      </c>
      <c r="O67" s="884"/>
      <c r="P67" s="444">
        <v>63</v>
      </c>
      <c r="Q67" s="444">
        <f t="shared" si="0"/>
        <v>137.64056902381861</v>
      </c>
      <c r="R67" s="116">
        <f t="shared" ref="R67:R76" si="21">R66</f>
        <v>9.7625151000000011E-6</v>
      </c>
      <c r="S67" s="454">
        <f t="shared" si="19"/>
        <v>120.26637969722988</v>
      </c>
      <c r="T67" s="455">
        <f t="shared" si="20"/>
        <v>278.39867066959198</v>
      </c>
    </row>
    <row r="68" spans="1:23" x14ac:dyDescent="0.25">
      <c r="A68" s="298" t="s">
        <v>214</v>
      </c>
      <c r="B68" s="116">
        <v>2014</v>
      </c>
      <c r="C68" s="116">
        <v>64</v>
      </c>
      <c r="D68" s="116">
        <v>109.47</v>
      </c>
      <c r="E68" s="116">
        <f t="shared" si="3"/>
        <v>-4.7277025184107287E-3</v>
      </c>
      <c r="F68" s="440">
        <v>109.47</v>
      </c>
      <c r="H68" s="298" t="s">
        <v>214</v>
      </c>
      <c r="I68" s="116">
        <v>2014</v>
      </c>
      <c r="J68" s="116">
        <v>64</v>
      </c>
      <c r="K68" s="451">
        <v>237.072</v>
      </c>
      <c r="L68" s="116">
        <f t="shared" si="4"/>
        <v>3.2967544531577165E-3</v>
      </c>
      <c r="M68" s="452">
        <v>237.072</v>
      </c>
      <c r="O68" s="884"/>
      <c r="P68" s="444">
        <v>64</v>
      </c>
      <c r="Q68" s="444">
        <f t="shared" si="0"/>
        <v>137.64056902381861</v>
      </c>
      <c r="R68" s="116">
        <f t="shared" si="21"/>
        <v>9.7625151000000011E-6</v>
      </c>
      <c r="S68" s="454">
        <f t="shared" si="19"/>
        <v>120.26637969722988</v>
      </c>
      <c r="T68" s="455">
        <f t="shared" si="20"/>
        <v>278.39867066959198</v>
      </c>
    </row>
    <row r="69" spans="1:23" x14ac:dyDescent="0.25">
      <c r="A69" s="298" t="s">
        <v>215</v>
      </c>
      <c r="B69" s="116">
        <v>2014</v>
      </c>
      <c r="C69" s="116">
        <v>65</v>
      </c>
      <c r="D69" s="116">
        <v>109.72</v>
      </c>
      <c r="E69" s="116">
        <f t="shared" si="3"/>
        <v>2.2837307024755641E-3</v>
      </c>
      <c r="F69" s="440">
        <v>109.72</v>
      </c>
      <c r="H69" s="298" t="s">
        <v>215</v>
      </c>
      <c r="I69" s="116">
        <v>2014</v>
      </c>
      <c r="J69" s="116">
        <v>65</v>
      </c>
      <c r="K69" s="451">
        <v>237.9</v>
      </c>
      <c r="L69" s="116">
        <f t="shared" si="4"/>
        <v>3.4926098400486051E-3</v>
      </c>
      <c r="M69" s="452">
        <v>237.9</v>
      </c>
      <c r="O69" s="884"/>
      <c r="P69" s="444">
        <v>65</v>
      </c>
      <c r="Q69" s="444">
        <f t="shared" si="0"/>
        <v>137.64056902381861</v>
      </c>
      <c r="R69" s="116">
        <f t="shared" si="21"/>
        <v>9.7625151000000011E-6</v>
      </c>
      <c r="S69" s="454">
        <f t="shared" si="19"/>
        <v>120.26637969722988</v>
      </c>
      <c r="T69" s="455">
        <f t="shared" si="20"/>
        <v>278.39867066959198</v>
      </c>
    </row>
    <row r="70" spans="1:23" x14ac:dyDescent="0.25">
      <c r="A70" s="298" t="s">
        <v>216</v>
      </c>
      <c r="B70" s="116">
        <v>2014</v>
      </c>
      <c r="C70" s="116">
        <v>66</v>
      </c>
      <c r="D70" s="116">
        <v>110.16</v>
      </c>
      <c r="E70" s="116">
        <f t="shared" si="3"/>
        <v>4.0102078016769757E-3</v>
      </c>
      <c r="F70" s="440">
        <v>110.16</v>
      </c>
      <c r="H70" s="298" t="s">
        <v>216</v>
      </c>
      <c r="I70" s="116">
        <v>2014</v>
      </c>
      <c r="J70" s="116">
        <v>66</v>
      </c>
      <c r="K70" s="451">
        <v>238.34299999999999</v>
      </c>
      <c r="L70" s="116">
        <f t="shared" si="4"/>
        <v>1.8621269440940883E-3</v>
      </c>
      <c r="M70" s="452">
        <v>238.34299999999999</v>
      </c>
      <c r="O70" s="884"/>
      <c r="P70" s="444">
        <v>66</v>
      </c>
      <c r="Q70" s="444">
        <f t="shared" ref="Q70:Q133" si="22">$Q$2*R70*1000+$S$2*S70/$P$1+$U$1*T70/$R$1</f>
        <v>137.64056902381861</v>
      </c>
      <c r="R70" s="116">
        <f t="shared" si="21"/>
        <v>9.7625151000000011E-6</v>
      </c>
      <c r="S70" s="454">
        <f t="shared" si="19"/>
        <v>120.26637969722988</v>
      </c>
      <c r="T70" s="455">
        <f t="shared" si="20"/>
        <v>278.39867066959198</v>
      </c>
    </row>
    <row r="71" spans="1:23" x14ac:dyDescent="0.25">
      <c r="A71" s="298" t="s">
        <v>217</v>
      </c>
      <c r="B71" s="116">
        <v>2014</v>
      </c>
      <c r="C71" s="116">
        <v>67</v>
      </c>
      <c r="D71" s="116">
        <v>110.77</v>
      </c>
      <c r="E71" s="116">
        <f t="shared" ref="E71:E119" si="23">(D71-D70)/D70</f>
        <v>5.5374001452432771E-3</v>
      </c>
      <c r="F71" s="440">
        <v>110.77</v>
      </c>
      <c r="H71" s="298" t="s">
        <v>217</v>
      </c>
      <c r="I71" s="116">
        <v>2014</v>
      </c>
      <c r="J71" s="116">
        <v>67</v>
      </c>
      <c r="K71" s="451">
        <v>238.25</v>
      </c>
      <c r="L71" s="116">
        <f t="shared" ref="L71:L119" si="24">(K71-K70)/K70</f>
        <v>-3.9019396416084935E-4</v>
      </c>
      <c r="M71" s="452">
        <v>238.25</v>
      </c>
      <c r="O71" s="884"/>
      <c r="P71" s="444">
        <v>67</v>
      </c>
      <c r="Q71" s="444">
        <f t="shared" si="22"/>
        <v>137.64056902381861</v>
      </c>
      <c r="R71" s="116">
        <f t="shared" si="21"/>
        <v>9.7625151000000011E-6</v>
      </c>
      <c r="S71" s="454">
        <f t="shared" si="19"/>
        <v>120.26637969722988</v>
      </c>
      <c r="T71" s="455">
        <f t="shared" si="20"/>
        <v>278.39867066959198</v>
      </c>
    </row>
    <row r="72" spans="1:23" x14ac:dyDescent="0.25">
      <c r="A72" s="298" t="s">
        <v>218</v>
      </c>
      <c r="B72" s="116">
        <v>2014</v>
      </c>
      <c r="C72" s="116">
        <v>68</v>
      </c>
      <c r="D72" s="116">
        <v>111.04</v>
      </c>
      <c r="E72" s="116">
        <f t="shared" si="23"/>
        <v>2.4374830730343076E-3</v>
      </c>
      <c r="F72" s="440">
        <v>111.04</v>
      </c>
      <c r="H72" s="298" t="s">
        <v>218</v>
      </c>
      <c r="I72" s="116">
        <v>2014</v>
      </c>
      <c r="J72" s="116">
        <v>68</v>
      </c>
      <c r="K72" s="451">
        <v>237.852</v>
      </c>
      <c r="L72" s="116">
        <f t="shared" si="24"/>
        <v>-1.6705141657922188E-3</v>
      </c>
      <c r="M72" s="452">
        <v>237.852</v>
      </c>
      <c r="O72" s="884"/>
      <c r="P72" s="444">
        <v>68</v>
      </c>
      <c r="Q72" s="444">
        <f t="shared" si="22"/>
        <v>137.64056902381861</v>
      </c>
      <c r="R72" s="116">
        <f t="shared" si="21"/>
        <v>9.7625151000000011E-6</v>
      </c>
      <c r="S72" s="454">
        <f t="shared" si="19"/>
        <v>120.26637969722988</v>
      </c>
      <c r="T72" s="455">
        <f t="shared" si="20"/>
        <v>278.39867066959198</v>
      </c>
    </row>
    <row r="73" spans="1:23" x14ac:dyDescent="0.25">
      <c r="A73" s="298" t="s">
        <v>219</v>
      </c>
      <c r="B73" s="116">
        <v>2014</v>
      </c>
      <c r="C73" s="116">
        <v>69</v>
      </c>
      <c r="D73" s="116">
        <v>110.92</v>
      </c>
      <c r="E73" s="116">
        <f t="shared" si="23"/>
        <v>-1.0806916426513377E-3</v>
      </c>
      <c r="F73" s="440">
        <v>110.92</v>
      </c>
      <c r="H73" s="298" t="s">
        <v>219</v>
      </c>
      <c r="I73" s="116">
        <v>2014</v>
      </c>
      <c r="J73" s="116">
        <v>69</v>
      </c>
      <c r="K73" s="451">
        <v>238.03100000000001</v>
      </c>
      <c r="L73" s="116">
        <f t="shared" si="24"/>
        <v>7.5256882431092465E-4</v>
      </c>
      <c r="M73" s="452">
        <v>238.03100000000001</v>
      </c>
      <c r="O73" s="884"/>
      <c r="P73" s="444">
        <v>69</v>
      </c>
      <c r="Q73" s="444">
        <f t="shared" si="22"/>
        <v>137.64056902381861</v>
      </c>
      <c r="R73" s="116">
        <f t="shared" si="21"/>
        <v>9.7625151000000011E-6</v>
      </c>
      <c r="S73" s="454">
        <f t="shared" si="19"/>
        <v>120.26637969722988</v>
      </c>
      <c r="T73" s="455">
        <f t="shared" si="20"/>
        <v>278.39867066959198</v>
      </c>
    </row>
    <row r="74" spans="1:23" x14ac:dyDescent="0.25">
      <c r="A74" s="298" t="s">
        <v>220</v>
      </c>
      <c r="B74" s="116">
        <v>2014</v>
      </c>
      <c r="C74" s="116">
        <v>70</v>
      </c>
      <c r="D74" s="116">
        <v>110.96</v>
      </c>
      <c r="E74" s="116">
        <f t="shared" si="23"/>
        <v>3.6062026685892572E-4</v>
      </c>
      <c r="F74" s="440">
        <v>110.96</v>
      </c>
      <c r="H74" s="298" t="s">
        <v>220</v>
      </c>
      <c r="I74" s="116">
        <v>2014</v>
      </c>
      <c r="J74" s="116">
        <v>70</v>
      </c>
      <c r="K74" s="451">
        <v>237.43299999999999</v>
      </c>
      <c r="L74" s="116">
        <f t="shared" si="24"/>
        <v>-2.5122778125538825E-3</v>
      </c>
      <c r="M74" s="452">
        <v>237.43299999999999</v>
      </c>
      <c r="O74" s="884"/>
      <c r="P74" s="444">
        <v>70</v>
      </c>
      <c r="Q74" s="444">
        <f t="shared" si="22"/>
        <v>137.64056902381861</v>
      </c>
      <c r="R74" s="116">
        <f t="shared" si="21"/>
        <v>9.7625151000000011E-6</v>
      </c>
      <c r="S74" s="454">
        <f t="shared" si="19"/>
        <v>120.26637969722988</v>
      </c>
      <c r="T74" s="455">
        <f t="shared" si="20"/>
        <v>278.39867066959198</v>
      </c>
    </row>
    <row r="75" spans="1:23" x14ac:dyDescent="0.25">
      <c r="A75" s="298" t="s">
        <v>221</v>
      </c>
      <c r="B75" s="116">
        <v>2014</v>
      </c>
      <c r="C75" s="116">
        <v>71</v>
      </c>
      <c r="D75" s="116">
        <v>110.41</v>
      </c>
      <c r="E75" s="116">
        <f t="shared" si="23"/>
        <v>-4.9567411679884389E-3</v>
      </c>
      <c r="F75" s="440">
        <v>110.41</v>
      </c>
      <c r="H75" s="298" t="s">
        <v>221</v>
      </c>
      <c r="I75" s="116">
        <v>2014</v>
      </c>
      <c r="J75" s="116">
        <v>71</v>
      </c>
      <c r="K75" s="451">
        <v>236.15100000000001</v>
      </c>
      <c r="L75" s="116">
        <f t="shared" si="24"/>
        <v>-5.3994179410611935E-3</v>
      </c>
      <c r="M75" s="452">
        <v>236.15100000000001</v>
      </c>
      <c r="O75" s="884"/>
      <c r="P75" s="444">
        <v>71</v>
      </c>
      <c r="Q75" s="444">
        <f t="shared" si="22"/>
        <v>137.64056902381861</v>
      </c>
      <c r="R75" s="116">
        <f t="shared" si="21"/>
        <v>9.7625151000000011E-6</v>
      </c>
      <c r="S75" s="454">
        <f t="shared" si="19"/>
        <v>120.26637969722988</v>
      </c>
      <c r="T75" s="455">
        <f t="shared" si="20"/>
        <v>278.39867066959198</v>
      </c>
    </row>
    <row r="76" spans="1:23" x14ac:dyDescent="0.25">
      <c r="A76" s="298" t="s">
        <v>222</v>
      </c>
      <c r="B76" s="116">
        <v>2014</v>
      </c>
      <c r="C76" s="116">
        <v>72</v>
      </c>
      <c r="D76" s="116">
        <v>109.5</v>
      </c>
      <c r="E76" s="116">
        <f t="shared" si="23"/>
        <v>-8.2420070645774536E-3</v>
      </c>
      <c r="F76" s="440">
        <v>109.5</v>
      </c>
      <c r="H76" s="298" t="s">
        <v>222</v>
      </c>
      <c r="I76" s="116">
        <v>2014</v>
      </c>
      <c r="J76" s="116">
        <v>72</v>
      </c>
      <c r="K76" s="451">
        <v>234.81200000000001</v>
      </c>
      <c r="L76" s="116">
        <f t="shared" si="24"/>
        <v>-5.6701009100109615E-3</v>
      </c>
      <c r="M76" s="452">
        <v>234.81200000000001</v>
      </c>
      <c r="O76" s="884"/>
      <c r="P76" s="444">
        <v>72</v>
      </c>
      <c r="Q76" s="444">
        <f t="shared" si="22"/>
        <v>137.64056902381861</v>
      </c>
      <c r="R76" s="116">
        <f t="shared" si="21"/>
        <v>9.7625151000000011E-6</v>
      </c>
      <c r="S76" s="454">
        <f t="shared" si="19"/>
        <v>120.26637969722988</v>
      </c>
      <c r="T76" s="455">
        <f t="shared" si="20"/>
        <v>278.39867066959198</v>
      </c>
    </row>
    <row r="77" spans="1:23" x14ac:dyDescent="0.25">
      <c r="A77" s="298" t="s">
        <v>211</v>
      </c>
      <c r="B77" s="116">
        <v>2015</v>
      </c>
      <c r="C77" s="116">
        <v>73</v>
      </c>
      <c r="D77" s="116">
        <v>108.69</v>
      </c>
      <c r="E77" s="116">
        <f t="shared" si="23"/>
        <v>-7.3972602739726234E-3</v>
      </c>
      <c r="F77" s="440">
        <v>108.69</v>
      </c>
      <c r="H77" s="298" t="s">
        <v>211</v>
      </c>
      <c r="I77" s="116">
        <v>2015</v>
      </c>
      <c r="J77" s="116">
        <v>73</v>
      </c>
      <c r="K77" s="444">
        <v>233.70699999999999</v>
      </c>
      <c r="L77" s="116">
        <f t="shared" si="24"/>
        <v>-4.705892373473324E-3</v>
      </c>
      <c r="M77" s="445">
        <v>233.70699999999999</v>
      </c>
      <c r="N77" s="446"/>
      <c r="O77" s="885">
        <v>7</v>
      </c>
      <c r="P77" s="444">
        <v>73</v>
      </c>
      <c r="Q77" s="444">
        <f t="shared" si="22"/>
        <v>141.09064126224078</v>
      </c>
      <c r="R77" s="444">
        <f>'Análisis Econ CCGT Nuevo'!G32</f>
        <v>1.005633837E-5</v>
      </c>
      <c r="S77" s="447">
        <f>$D$195</f>
        <v>121.79742622280746</v>
      </c>
      <c r="T77" s="448">
        <f>$K$195</f>
        <v>283.64668285552716</v>
      </c>
      <c r="U77" s="446"/>
      <c r="V77" s="446"/>
      <c r="W77" s="446"/>
    </row>
    <row r="78" spans="1:23" x14ac:dyDescent="0.25">
      <c r="A78" s="298" t="s">
        <v>212</v>
      </c>
      <c r="B78" s="116">
        <v>2015</v>
      </c>
      <c r="C78" s="116">
        <v>74</v>
      </c>
      <c r="D78" s="116">
        <v>108.57</v>
      </c>
      <c r="E78" s="116">
        <f t="shared" si="23"/>
        <v>-1.1040574109854131E-3</v>
      </c>
      <c r="F78" s="440">
        <v>108.57</v>
      </c>
      <c r="H78" s="298" t="s">
        <v>212</v>
      </c>
      <c r="I78" s="116">
        <v>2015</v>
      </c>
      <c r="J78" s="116">
        <v>74</v>
      </c>
      <c r="K78" s="444">
        <v>234.72200000000001</v>
      </c>
      <c r="L78" s="116">
        <f t="shared" si="24"/>
        <v>4.3430449237721368E-3</v>
      </c>
      <c r="M78" s="445">
        <v>234.72200000000001</v>
      </c>
      <c r="O78" s="885"/>
      <c r="P78" s="444">
        <v>74</v>
      </c>
      <c r="Q78" s="444">
        <f t="shared" si="22"/>
        <v>141.09064126224078</v>
      </c>
      <c r="R78" s="116">
        <f>R77</f>
        <v>1.005633837E-5</v>
      </c>
      <c r="S78" s="447">
        <f t="shared" ref="S78:S88" si="25">$D$195</f>
        <v>121.79742622280746</v>
      </c>
      <c r="T78" s="448">
        <f t="shared" ref="T78:T88" si="26">$K$195</f>
        <v>283.64668285552716</v>
      </c>
    </row>
    <row r="79" spans="1:23" x14ac:dyDescent="0.25">
      <c r="A79" s="298" t="s">
        <v>213</v>
      </c>
      <c r="B79" s="116">
        <v>2015</v>
      </c>
      <c r="C79" s="116">
        <v>75</v>
      </c>
      <c r="D79" s="116">
        <v>109.1</v>
      </c>
      <c r="E79" s="116">
        <f t="shared" si="23"/>
        <v>4.8816431795155307E-3</v>
      </c>
      <c r="F79" s="440">
        <v>109.1</v>
      </c>
      <c r="H79" s="298" t="s">
        <v>213</v>
      </c>
      <c r="I79" s="116">
        <v>2015</v>
      </c>
      <c r="J79" s="116">
        <v>75</v>
      </c>
      <c r="K79" s="444">
        <v>236.119</v>
      </c>
      <c r="L79" s="116">
        <f t="shared" si="24"/>
        <v>5.9517216110973464E-3</v>
      </c>
      <c r="M79" s="445">
        <v>236.119</v>
      </c>
      <c r="O79" s="885"/>
      <c r="P79" s="444">
        <v>75</v>
      </c>
      <c r="Q79" s="444">
        <f t="shared" si="22"/>
        <v>141.09064126224078</v>
      </c>
      <c r="R79" s="116">
        <f t="shared" ref="R79:R88" si="27">R78</f>
        <v>1.005633837E-5</v>
      </c>
      <c r="S79" s="447">
        <f t="shared" si="25"/>
        <v>121.79742622280746</v>
      </c>
      <c r="T79" s="448">
        <f t="shared" si="26"/>
        <v>283.64668285552716</v>
      </c>
    </row>
    <row r="80" spans="1:23" x14ac:dyDescent="0.25">
      <c r="A80" s="298" t="s">
        <v>214</v>
      </c>
      <c r="B80" s="116">
        <v>2015</v>
      </c>
      <c r="C80" s="116">
        <v>76</v>
      </c>
      <c r="D80" s="116">
        <v>109.11</v>
      </c>
      <c r="E80" s="116">
        <f t="shared" si="23"/>
        <v>9.1659028414345703E-5</v>
      </c>
      <c r="F80" s="440">
        <v>109.11</v>
      </c>
      <c r="H80" s="298" t="s">
        <v>214</v>
      </c>
      <c r="I80" s="116">
        <v>2015</v>
      </c>
      <c r="J80" s="116">
        <v>76</v>
      </c>
      <c r="K80" s="444">
        <v>236.59899999999999</v>
      </c>
      <c r="L80" s="116">
        <f t="shared" si="24"/>
        <v>2.0328732545876857E-3</v>
      </c>
      <c r="M80" s="445">
        <v>236.59899999999999</v>
      </c>
      <c r="O80" s="885"/>
      <c r="P80" s="444">
        <v>76</v>
      </c>
      <c r="Q80" s="444">
        <f t="shared" si="22"/>
        <v>141.09064126224078</v>
      </c>
      <c r="R80" s="116">
        <f t="shared" si="27"/>
        <v>1.005633837E-5</v>
      </c>
      <c r="S80" s="447">
        <f t="shared" si="25"/>
        <v>121.79742622280746</v>
      </c>
      <c r="T80" s="448">
        <f t="shared" si="26"/>
        <v>283.64668285552716</v>
      </c>
    </row>
    <row r="81" spans="1:23" x14ac:dyDescent="0.25">
      <c r="A81" s="298" t="s">
        <v>215</v>
      </c>
      <c r="B81" s="116">
        <v>2015</v>
      </c>
      <c r="C81" s="116">
        <v>77</v>
      </c>
      <c r="D81" s="116">
        <v>109.33</v>
      </c>
      <c r="E81" s="116">
        <f t="shared" si="23"/>
        <v>2.0163138117495999E-3</v>
      </c>
      <c r="F81" s="440">
        <v>109.33</v>
      </c>
      <c r="H81" s="298" t="s">
        <v>215</v>
      </c>
      <c r="I81" s="116">
        <v>2015</v>
      </c>
      <c r="J81" s="116">
        <v>77</v>
      </c>
      <c r="K81" s="444">
        <v>237.80500000000001</v>
      </c>
      <c r="L81" s="116">
        <f t="shared" si="24"/>
        <v>5.0972320254946864E-3</v>
      </c>
      <c r="M81" s="445">
        <v>237.80500000000001</v>
      </c>
      <c r="O81" s="885"/>
      <c r="P81" s="444">
        <v>77</v>
      </c>
      <c r="Q81" s="444">
        <f t="shared" si="22"/>
        <v>141.09064126224078</v>
      </c>
      <c r="R81" s="116">
        <f t="shared" si="27"/>
        <v>1.005633837E-5</v>
      </c>
      <c r="S81" s="447">
        <f t="shared" si="25"/>
        <v>121.79742622280746</v>
      </c>
      <c r="T81" s="448">
        <f t="shared" si="26"/>
        <v>283.64668285552716</v>
      </c>
    </row>
    <row r="82" spans="1:23" x14ac:dyDescent="0.25">
      <c r="A82" s="298" t="s">
        <v>216</v>
      </c>
      <c r="B82" s="116">
        <v>2015</v>
      </c>
      <c r="C82" s="116">
        <v>78</v>
      </c>
      <c r="D82" s="116">
        <v>109.24</v>
      </c>
      <c r="E82" s="116">
        <f t="shared" si="23"/>
        <v>-8.2319582914116359E-4</v>
      </c>
      <c r="F82" s="440">
        <v>109.24</v>
      </c>
      <c r="H82" s="298" t="s">
        <v>216</v>
      </c>
      <c r="I82" s="116">
        <v>2015</v>
      </c>
      <c r="J82" s="116">
        <v>78</v>
      </c>
      <c r="K82" s="444">
        <v>238.63800000000001</v>
      </c>
      <c r="L82" s="116">
        <f t="shared" si="24"/>
        <v>3.502869998528199E-3</v>
      </c>
      <c r="M82" s="445">
        <v>238.63800000000001</v>
      </c>
      <c r="O82" s="885"/>
      <c r="P82" s="444">
        <v>78</v>
      </c>
      <c r="Q82" s="444">
        <f t="shared" si="22"/>
        <v>141.09064126224078</v>
      </c>
      <c r="R82" s="116">
        <f t="shared" si="27"/>
        <v>1.005633837E-5</v>
      </c>
      <c r="S82" s="447">
        <f t="shared" si="25"/>
        <v>121.79742622280746</v>
      </c>
      <c r="T82" s="448">
        <f t="shared" si="26"/>
        <v>283.64668285552716</v>
      </c>
    </row>
    <row r="83" spans="1:23" x14ac:dyDescent="0.25">
      <c r="A83" s="298" t="s">
        <v>217</v>
      </c>
      <c r="B83" s="116">
        <v>2015</v>
      </c>
      <c r="C83" s="116">
        <v>79</v>
      </c>
      <c r="D83" s="116">
        <v>109.16</v>
      </c>
      <c r="E83" s="116">
        <f t="shared" si="23"/>
        <v>-7.3233247894542567E-4</v>
      </c>
      <c r="F83" s="440">
        <v>109.16</v>
      </c>
      <c r="H83" s="298" t="s">
        <v>217</v>
      </c>
      <c r="I83" s="116">
        <v>2015</v>
      </c>
      <c r="J83" s="116">
        <v>79</v>
      </c>
      <c r="K83" s="444">
        <v>238.654</v>
      </c>
      <c r="L83" s="116">
        <f t="shared" si="24"/>
        <v>6.7047159295632427E-5</v>
      </c>
      <c r="M83" s="445">
        <v>238.654</v>
      </c>
      <c r="O83" s="885"/>
      <c r="P83" s="444">
        <v>79</v>
      </c>
      <c r="Q83" s="444">
        <f t="shared" si="22"/>
        <v>141.09064126224078</v>
      </c>
      <c r="R83" s="116">
        <f t="shared" si="27"/>
        <v>1.005633837E-5</v>
      </c>
      <c r="S83" s="447">
        <f t="shared" si="25"/>
        <v>121.79742622280746</v>
      </c>
      <c r="T83" s="448">
        <f t="shared" si="26"/>
        <v>283.64668285552716</v>
      </c>
    </row>
    <row r="84" spans="1:23" x14ac:dyDescent="0.25">
      <c r="A84" s="298" t="s">
        <v>218</v>
      </c>
      <c r="B84" s="116">
        <v>2015</v>
      </c>
      <c r="C84" s="116">
        <v>80</v>
      </c>
      <c r="D84" s="116">
        <v>108.82</v>
      </c>
      <c r="E84" s="116">
        <f t="shared" si="23"/>
        <v>-3.1146940271161911E-3</v>
      </c>
      <c r="F84" s="440">
        <v>108.82</v>
      </c>
      <c r="H84" s="298" t="s">
        <v>218</v>
      </c>
      <c r="I84" s="116">
        <v>2015</v>
      </c>
      <c r="J84" s="116">
        <v>80</v>
      </c>
      <c r="K84" s="444">
        <v>238.316</v>
      </c>
      <c r="L84" s="116">
        <f t="shared" si="24"/>
        <v>-1.4162762828194536E-3</v>
      </c>
      <c r="M84" s="445">
        <v>238.316</v>
      </c>
      <c r="O84" s="885"/>
      <c r="P84" s="444">
        <v>80</v>
      </c>
      <c r="Q84" s="444">
        <f t="shared" si="22"/>
        <v>141.09064126224078</v>
      </c>
      <c r="R84" s="116">
        <f t="shared" si="27"/>
        <v>1.005633837E-5</v>
      </c>
      <c r="S84" s="447">
        <f t="shared" si="25"/>
        <v>121.79742622280746</v>
      </c>
      <c r="T84" s="448">
        <f t="shared" si="26"/>
        <v>283.64668285552716</v>
      </c>
    </row>
    <row r="85" spans="1:23" x14ac:dyDescent="0.25">
      <c r="A85" s="298" t="s">
        <v>219</v>
      </c>
      <c r="B85" s="116">
        <v>2015</v>
      </c>
      <c r="C85" s="116">
        <v>81</v>
      </c>
      <c r="D85" s="116">
        <v>108.41</v>
      </c>
      <c r="E85" s="116">
        <f t="shared" si="23"/>
        <v>-3.7676897629111985E-3</v>
      </c>
      <c r="F85" s="440">
        <v>108.41</v>
      </c>
      <c r="H85" s="298" t="s">
        <v>219</v>
      </c>
      <c r="I85" s="116">
        <v>2015</v>
      </c>
      <c r="J85" s="116">
        <v>81</v>
      </c>
      <c r="K85" s="444">
        <v>237.94499999999999</v>
      </c>
      <c r="L85" s="116">
        <f t="shared" si="24"/>
        <v>-1.5567565753034178E-3</v>
      </c>
      <c r="M85" s="445">
        <v>237.94499999999999</v>
      </c>
      <c r="O85" s="885"/>
      <c r="P85" s="444">
        <v>81</v>
      </c>
      <c r="Q85" s="444">
        <f t="shared" si="22"/>
        <v>141.09064126224078</v>
      </c>
      <c r="R85" s="116">
        <f t="shared" si="27"/>
        <v>1.005633837E-5</v>
      </c>
      <c r="S85" s="447">
        <f t="shared" si="25"/>
        <v>121.79742622280746</v>
      </c>
      <c r="T85" s="448">
        <f t="shared" si="26"/>
        <v>283.64668285552716</v>
      </c>
    </row>
    <row r="86" spans="1:23" x14ac:dyDescent="0.25">
      <c r="A86" s="298" t="s">
        <v>220</v>
      </c>
      <c r="B86" s="116">
        <v>2015</v>
      </c>
      <c r="C86" s="116">
        <v>82</v>
      </c>
      <c r="D86" s="116">
        <v>110.77</v>
      </c>
      <c r="E86" s="116">
        <f t="shared" si="23"/>
        <v>2.176920948252006E-2</v>
      </c>
      <c r="F86" s="440">
        <v>110.77</v>
      </c>
      <c r="H86" s="298" t="s">
        <v>220</v>
      </c>
      <c r="I86" s="116">
        <v>2015</v>
      </c>
      <c r="J86" s="116">
        <v>82</v>
      </c>
      <c r="K86" s="444">
        <v>237.83799999999999</v>
      </c>
      <c r="L86" s="116">
        <f t="shared" si="24"/>
        <v>-4.496837504465289E-4</v>
      </c>
      <c r="M86" s="445">
        <v>237.83799999999999</v>
      </c>
      <c r="O86" s="885"/>
      <c r="P86" s="444">
        <v>82</v>
      </c>
      <c r="Q86" s="444">
        <f t="shared" si="22"/>
        <v>141.09064126224078</v>
      </c>
      <c r="R86" s="116">
        <f t="shared" si="27"/>
        <v>1.005633837E-5</v>
      </c>
      <c r="S86" s="447">
        <f t="shared" si="25"/>
        <v>121.79742622280746</v>
      </c>
      <c r="T86" s="448">
        <f t="shared" si="26"/>
        <v>283.64668285552716</v>
      </c>
    </row>
    <row r="87" spans="1:23" x14ac:dyDescent="0.25">
      <c r="A87" s="298" t="s">
        <v>221</v>
      </c>
      <c r="B87" s="116">
        <v>2015</v>
      </c>
      <c r="C87" s="116">
        <v>83</v>
      </c>
      <c r="D87" s="116">
        <v>110.69</v>
      </c>
      <c r="E87" s="116">
        <f t="shared" si="23"/>
        <v>-7.2221720682493721E-4</v>
      </c>
      <c r="F87" s="440">
        <v>110.69</v>
      </c>
      <c r="H87" s="298" t="s">
        <v>221</v>
      </c>
      <c r="I87" s="116">
        <v>2015</v>
      </c>
      <c r="J87" s="116">
        <v>83</v>
      </c>
      <c r="K87" s="444">
        <v>237.33600000000001</v>
      </c>
      <c r="L87" s="116">
        <f t="shared" si="24"/>
        <v>-2.1106803790814804E-3</v>
      </c>
      <c r="M87" s="445">
        <v>237.33600000000001</v>
      </c>
      <c r="O87" s="885"/>
      <c r="P87" s="444">
        <v>83</v>
      </c>
      <c r="Q87" s="444">
        <f t="shared" si="22"/>
        <v>141.09064126224078</v>
      </c>
      <c r="R87" s="116">
        <f t="shared" si="27"/>
        <v>1.005633837E-5</v>
      </c>
      <c r="S87" s="447">
        <f t="shared" si="25"/>
        <v>121.79742622280746</v>
      </c>
      <c r="T87" s="448">
        <f t="shared" si="26"/>
        <v>283.64668285552716</v>
      </c>
    </row>
    <row r="88" spans="1:23" x14ac:dyDescent="0.25">
      <c r="A88" s="298" t="s">
        <v>222</v>
      </c>
      <c r="B88" s="116">
        <v>2015</v>
      </c>
      <c r="C88" s="116">
        <v>84</v>
      </c>
      <c r="D88" s="116">
        <v>110.61</v>
      </c>
      <c r="E88" s="116">
        <f t="shared" si="23"/>
        <v>-7.2273918149786157E-4</v>
      </c>
      <c r="F88" s="440">
        <v>110.61</v>
      </c>
      <c r="H88" s="298" t="s">
        <v>222</v>
      </c>
      <c r="I88" s="116">
        <v>2015</v>
      </c>
      <c r="J88" s="116">
        <v>84</v>
      </c>
      <c r="K88" s="444">
        <v>236.52500000000001</v>
      </c>
      <c r="L88" s="116">
        <f t="shared" si="24"/>
        <v>-3.4170964371187137E-3</v>
      </c>
      <c r="M88" s="445">
        <v>236.52500000000001</v>
      </c>
      <c r="O88" s="885"/>
      <c r="P88" s="444">
        <v>84</v>
      </c>
      <c r="Q88" s="444">
        <f t="shared" si="22"/>
        <v>141.09064126224078</v>
      </c>
      <c r="R88" s="116">
        <f t="shared" si="27"/>
        <v>1.005633837E-5</v>
      </c>
      <c r="S88" s="447">
        <f t="shared" si="25"/>
        <v>121.79742622280746</v>
      </c>
      <c r="T88" s="448">
        <f t="shared" si="26"/>
        <v>283.64668285552716</v>
      </c>
    </row>
    <row r="89" spans="1:23" x14ac:dyDescent="0.25">
      <c r="A89" s="298" t="s">
        <v>211</v>
      </c>
      <c r="B89" s="116">
        <v>2016</v>
      </c>
      <c r="C89" s="116">
        <v>85</v>
      </c>
      <c r="D89" s="116">
        <v>110.67</v>
      </c>
      <c r="E89" s="116">
        <f t="shared" si="23"/>
        <v>5.4244643341472081E-4</v>
      </c>
      <c r="F89" s="440">
        <v>110.67</v>
      </c>
      <c r="H89" s="298" t="s">
        <v>211</v>
      </c>
      <c r="I89" s="116">
        <v>2016</v>
      </c>
      <c r="J89" s="116">
        <v>85</v>
      </c>
      <c r="K89" s="451">
        <v>236.916</v>
      </c>
      <c r="L89" s="116">
        <f t="shared" si="24"/>
        <v>1.6531022090687712E-3</v>
      </c>
      <c r="M89" s="452">
        <v>236.916</v>
      </c>
      <c r="N89" s="453"/>
      <c r="O89" s="881">
        <v>8</v>
      </c>
      <c r="P89" s="444">
        <v>85</v>
      </c>
      <c r="Q89" s="444">
        <f t="shared" si="22"/>
        <v>144.33126683858973</v>
      </c>
      <c r="R89" s="451">
        <f>'Análisis Econ CCGT Nuevo'!G33</f>
        <v>1.032172713E-5</v>
      </c>
      <c r="S89" s="454">
        <f>$D$207</f>
        <v>123.34796367734944</v>
      </c>
      <c r="T89" s="455">
        <f>$K$207</f>
        <v>288.99362378935274</v>
      </c>
      <c r="U89" s="453"/>
      <c r="V89" s="453"/>
      <c r="W89" s="453"/>
    </row>
    <row r="90" spans="1:23" x14ac:dyDescent="0.25">
      <c r="A90" s="298" t="s">
        <v>212</v>
      </c>
      <c r="B90" s="116">
        <v>2016</v>
      </c>
      <c r="C90" s="116">
        <v>86</v>
      </c>
      <c r="D90" s="116">
        <v>110.37</v>
      </c>
      <c r="E90" s="116">
        <f t="shared" si="23"/>
        <v>-2.7107617240444306E-3</v>
      </c>
      <c r="F90" s="440">
        <v>110.37</v>
      </c>
      <c r="H90" s="298" t="s">
        <v>212</v>
      </c>
      <c r="I90" s="116">
        <v>2016</v>
      </c>
      <c r="J90" s="116">
        <v>86</v>
      </c>
      <c r="K90" s="451">
        <v>237.11099999999999</v>
      </c>
      <c r="L90" s="116">
        <f t="shared" si="24"/>
        <v>8.230765334548666E-4</v>
      </c>
      <c r="M90" s="452">
        <v>237.11099999999999</v>
      </c>
      <c r="O90" s="881"/>
      <c r="P90" s="444">
        <v>86</v>
      </c>
      <c r="Q90" s="444">
        <f t="shared" si="22"/>
        <v>144.33126683858973</v>
      </c>
      <c r="R90" s="116">
        <f>R89</f>
        <v>1.032172713E-5</v>
      </c>
      <c r="S90" s="454">
        <f t="shared" ref="S90:S100" si="28">$D$207</f>
        <v>123.34796367734944</v>
      </c>
      <c r="T90" s="455">
        <f t="shared" ref="T90:T100" si="29">$K$207</f>
        <v>288.99362378935274</v>
      </c>
    </row>
    <row r="91" spans="1:23" x14ac:dyDescent="0.25">
      <c r="A91" s="298" t="s">
        <v>213</v>
      </c>
      <c r="B91" s="116">
        <v>2016</v>
      </c>
      <c r="C91" s="116">
        <v>87</v>
      </c>
      <c r="D91" s="116">
        <v>110.32</v>
      </c>
      <c r="E91" s="116">
        <f t="shared" si="23"/>
        <v>-4.5302165443518498E-4</v>
      </c>
      <c r="F91" s="440">
        <v>110.32</v>
      </c>
      <c r="H91" s="298" t="s">
        <v>213</v>
      </c>
      <c r="I91" s="116">
        <v>2016</v>
      </c>
      <c r="J91" s="116">
        <v>87</v>
      </c>
      <c r="K91" s="451">
        <v>238.13200000000001</v>
      </c>
      <c r="L91" s="116">
        <f t="shared" si="24"/>
        <v>4.3060001433928201E-3</v>
      </c>
      <c r="M91" s="452">
        <v>238.13200000000001</v>
      </c>
      <c r="O91" s="881"/>
      <c r="P91" s="444">
        <v>87</v>
      </c>
      <c r="Q91" s="444">
        <f t="shared" si="22"/>
        <v>144.33126683858973</v>
      </c>
      <c r="R91" s="116">
        <f t="shared" ref="R91:R100" si="30">R90</f>
        <v>1.032172713E-5</v>
      </c>
      <c r="S91" s="454">
        <f t="shared" si="28"/>
        <v>123.34796367734944</v>
      </c>
      <c r="T91" s="455">
        <f t="shared" si="29"/>
        <v>288.99362378935274</v>
      </c>
    </row>
    <row r="92" spans="1:23" x14ac:dyDescent="0.25">
      <c r="A92" s="298" t="s">
        <v>214</v>
      </c>
      <c r="B92" s="116">
        <v>2016</v>
      </c>
      <c r="C92" s="116">
        <v>88</v>
      </c>
      <c r="D92" s="116">
        <v>110.05</v>
      </c>
      <c r="E92" s="116">
        <f t="shared" si="23"/>
        <v>-2.4474256707758889E-3</v>
      </c>
      <c r="F92" s="440">
        <v>110.05</v>
      </c>
      <c r="H92" s="298" t="s">
        <v>214</v>
      </c>
      <c r="I92" s="116">
        <v>2016</v>
      </c>
      <c r="J92" s="116">
        <v>88</v>
      </c>
      <c r="K92" s="451">
        <v>239.261</v>
      </c>
      <c r="L92" s="116">
        <f t="shared" si="24"/>
        <v>4.741067979103987E-3</v>
      </c>
      <c r="M92" s="452">
        <v>239.261</v>
      </c>
      <c r="O92" s="881"/>
      <c r="P92" s="444">
        <v>88</v>
      </c>
      <c r="Q92" s="444">
        <f t="shared" si="22"/>
        <v>144.33126683858973</v>
      </c>
      <c r="R92" s="116">
        <f t="shared" si="30"/>
        <v>1.032172713E-5</v>
      </c>
      <c r="S92" s="454">
        <f t="shared" si="28"/>
        <v>123.34796367734944</v>
      </c>
      <c r="T92" s="455">
        <f t="shared" si="29"/>
        <v>288.99362378935274</v>
      </c>
    </row>
    <row r="93" spans="1:23" x14ac:dyDescent="0.25">
      <c r="A93" s="298" t="s">
        <v>215</v>
      </c>
      <c r="B93" s="116">
        <v>2016</v>
      </c>
      <c r="C93" s="116">
        <v>89</v>
      </c>
      <c r="D93" s="116">
        <v>110.13</v>
      </c>
      <c r="E93" s="116">
        <f t="shared" si="23"/>
        <v>7.2694229895500502E-4</v>
      </c>
      <c r="F93" s="440">
        <v>110.13</v>
      </c>
      <c r="H93" s="298" t="s">
        <v>215</v>
      </c>
      <c r="I93" s="116">
        <v>2016</v>
      </c>
      <c r="J93" s="116">
        <v>89</v>
      </c>
      <c r="K93" s="451">
        <v>240.23599999999999</v>
      </c>
      <c r="L93" s="116">
        <f t="shared" si="24"/>
        <v>4.075047751200548E-3</v>
      </c>
      <c r="M93" s="452">
        <v>240.23599999999999</v>
      </c>
      <c r="O93" s="881"/>
      <c r="P93" s="444">
        <v>89</v>
      </c>
      <c r="Q93" s="444">
        <f t="shared" si="22"/>
        <v>144.33126683858973</v>
      </c>
      <c r="R93" s="116">
        <f t="shared" si="30"/>
        <v>1.032172713E-5</v>
      </c>
      <c r="S93" s="454">
        <f t="shared" si="28"/>
        <v>123.34796367734944</v>
      </c>
      <c r="T93" s="455">
        <f t="shared" si="29"/>
        <v>288.99362378935274</v>
      </c>
    </row>
    <row r="94" spans="1:23" x14ac:dyDescent="0.25">
      <c r="A94" s="298" t="s">
        <v>216</v>
      </c>
      <c r="B94" s="116">
        <v>2016</v>
      </c>
      <c r="C94" s="116">
        <v>90</v>
      </c>
      <c r="D94" s="116">
        <v>110.24</v>
      </c>
      <c r="E94" s="116">
        <f t="shared" si="23"/>
        <v>9.988195768637013E-4</v>
      </c>
      <c r="F94" s="440">
        <v>110.24</v>
      </c>
      <c r="H94" s="298" t="s">
        <v>216</v>
      </c>
      <c r="I94" s="116">
        <v>2016</v>
      </c>
      <c r="J94" s="116">
        <v>90</v>
      </c>
      <c r="K94" s="451">
        <v>241.03800000000001</v>
      </c>
      <c r="L94" s="116">
        <f t="shared" si="24"/>
        <v>3.3383839224763187E-3</v>
      </c>
      <c r="M94" s="452">
        <v>241.03800000000001</v>
      </c>
      <c r="O94" s="881"/>
      <c r="P94" s="444">
        <v>90</v>
      </c>
      <c r="Q94" s="444">
        <f t="shared" si="22"/>
        <v>144.33126683858973</v>
      </c>
      <c r="R94" s="116">
        <f t="shared" si="30"/>
        <v>1.032172713E-5</v>
      </c>
      <c r="S94" s="454">
        <f t="shared" si="28"/>
        <v>123.34796367734944</v>
      </c>
      <c r="T94" s="455">
        <f t="shared" si="29"/>
        <v>288.99362378935274</v>
      </c>
    </row>
    <row r="95" spans="1:23" x14ac:dyDescent="0.25">
      <c r="A95" s="298" t="s">
        <v>217</v>
      </c>
      <c r="B95" s="116">
        <v>2016</v>
      </c>
      <c r="C95" s="116">
        <v>91</v>
      </c>
      <c r="D95" s="116">
        <v>110.12</v>
      </c>
      <c r="E95" s="116">
        <f t="shared" si="23"/>
        <v>-1.0885341074019443E-3</v>
      </c>
      <c r="F95" s="440">
        <v>110.12</v>
      </c>
      <c r="H95" s="298" t="s">
        <v>217</v>
      </c>
      <c r="I95" s="116">
        <v>2016</v>
      </c>
      <c r="J95" s="116">
        <v>91</v>
      </c>
      <c r="K95" s="451">
        <v>240.64699999999999</v>
      </c>
      <c r="L95" s="116">
        <f t="shared" si="24"/>
        <v>-1.622150864179173E-3</v>
      </c>
      <c r="M95" s="452">
        <v>240.64699999999999</v>
      </c>
      <c r="O95" s="881"/>
      <c r="P95" s="444">
        <v>91</v>
      </c>
      <c r="Q95" s="444">
        <f t="shared" si="22"/>
        <v>144.33126683858973</v>
      </c>
      <c r="R95" s="116">
        <f t="shared" si="30"/>
        <v>1.032172713E-5</v>
      </c>
      <c r="S95" s="454">
        <f t="shared" si="28"/>
        <v>123.34796367734944</v>
      </c>
      <c r="T95" s="455">
        <f t="shared" si="29"/>
        <v>288.99362378935274</v>
      </c>
    </row>
    <row r="96" spans="1:23" x14ac:dyDescent="0.25">
      <c r="A96" s="298" t="s">
        <v>218</v>
      </c>
      <c r="B96" s="116">
        <v>2016</v>
      </c>
      <c r="C96" s="116">
        <v>92</v>
      </c>
      <c r="D96" s="116">
        <v>109.85</v>
      </c>
      <c r="E96" s="116">
        <f t="shared" si="23"/>
        <v>-2.4518706865238851E-3</v>
      </c>
      <c r="F96" s="440">
        <v>109.85</v>
      </c>
      <c r="H96" s="298" t="s">
        <v>218</v>
      </c>
      <c r="I96" s="116">
        <v>2016</v>
      </c>
      <c r="J96" s="116">
        <v>92</v>
      </c>
      <c r="K96" s="451">
        <v>240.85300000000001</v>
      </c>
      <c r="L96" s="116">
        <f t="shared" si="24"/>
        <v>8.5602563090342819E-4</v>
      </c>
      <c r="M96" s="452">
        <v>240.85300000000001</v>
      </c>
      <c r="O96" s="881"/>
      <c r="P96" s="444">
        <v>92</v>
      </c>
      <c r="Q96" s="444">
        <f t="shared" si="22"/>
        <v>144.33126683858973</v>
      </c>
      <c r="R96" s="116">
        <f t="shared" si="30"/>
        <v>1.032172713E-5</v>
      </c>
      <c r="S96" s="454">
        <f t="shared" si="28"/>
        <v>123.34796367734944</v>
      </c>
      <c r="T96" s="455">
        <f t="shared" si="29"/>
        <v>288.99362378935274</v>
      </c>
    </row>
    <row r="97" spans="1:23" x14ac:dyDescent="0.25">
      <c r="A97" s="298" t="s">
        <v>219</v>
      </c>
      <c r="B97" s="116">
        <v>2016</v>
      </c>
      <c r="C97" s="116">
        <v>93</v>
      </c>
      <c r="D97" s="116">
        <v>109.51</v>
      </c>
      <c r="E97" s="116">
        <f t="shared" si="23"/>
        <v>-3.0951297223485593E-3</v>
      </c>
      <c r="F97" s="440">
        <v>109.51</v>
      </c>
      <c r="H97" s="298" t="s">
        <v>219</v>
      </c>
      <c r="I97" s="116">
        <v>2016</v>
      </c>
      <c r="J97" s="116">
        <v>93</v>
      </c>
      <c r="K97" s="451">
        <v>241.428</v>
      </c>
      <c r="L97" s="116">
        <f t="shared" si="24"/>
        <v>2.3873482995851771E-3</v>
      </c>
      <c r="M97" s="452">
        <v>241.428</v>
      </c>
      <c r="O97" s="881"/>
      <c r="P97" s="444">
        <v>93</v>
      </c>
      <c r="Q97" s="444">
        <f t="shared" si="22"/>
        <v>144.33126683858973</v>
      </c>
      <c r="R97" s="116">
        <f t="shared" si="30"/>
        <v>1.032172713E-5</v>
      </c>
      <c r="S97" s="454">
        <f t="shared" si="28"/>
        <v>123.34796367734944</v>
      </c>
      <c r="T97" s="455">
        <f t="shared" si="29"/>
        <v>288.99362378935274</v>
      </c>
    </row>
    <row r="98" spans="1:23" x14ac:dyDescent="0.25">
      <c r="A98" s="298" t="s">
        <v>220</v>
      </c>
      <c r="B98" s="116">
        <v>2016</v>
      </c>
      <c r="C98" s="116">
        <v>94</v>
      </c>
      <c r="D98" s="116">
        <v>109.79</v>
      </c>
      <c r="E98" s="116">
        <f t="shared" si="23"/>
        <v>2.5568441238243184E-3</v>
      </c>
      <c r="F98" s="440">
        <v>109.79</v>
      </c>
      <c r="H98" s="298" t="s">
        <v>220</v>
      </c>
      <c r="I98" s="116">
        <v>2016</v>
      </c>
      <c r="J98" s="116">
        <v>94</v>
      </c>
      <c r="K98" s="451">
        <v>241.72900000000001</v>
      </c>
      <c r="L98" s="116">
        <f t="shared" si="24"/>
        <v>1.2467485130142988E-3</v>
      </c>
      <c r="M98" s="452">
        <v>241.72900000000001</v>
      </c>
      <c r="O98" s="881"/>
      <c r="P98" s="444">
        <v>94</v>
      </c>
      <c r="Q98" s="444">
        <f t="shared" si="22"/>
        <v>144.33126683858973</v>
      </c>
      <c r="R98" s="116">
        <f t="shared" si="30"/>
        <v>1.032172713E-5</v>
      </c>
      <c r="S98" s="454">
        <f t="shared" si="28"/>
        <v>123.34796367734944</v>
      </c>
      <c r="T98" s="455">
        <f t="shared" si="29"/>
        <v>288.99362378935274</v>
      </c>
    </row>
    <row r="99" spans="1:23" x14ac:dyDescent="0.25">
      <c r="A99" s="298" t="s">
        <v>221</v>
      </c>
      <c r="B99" s="116">
        <v>2016</v>
      </c>
      <c r="C99" s="116">
        <v>95</v>
      </c>
      <c r="D99" s="116">
        <v>109.78</v>
      </c>
      <c r="E99" s="116">
        <f t="shared" si="23"/>
        <v>-9.1082976591721614E-5</v>
      </c>
      <c r="F99" s="440">
        <v>109.78</v>
      </c>
      <c r="H99" s="298" t="s">
        <v>221</v>
      </c>
      <c r="I99" s="116">
        <v>2016</v>
      </c>
      <c r="J99" s="116">
        <v>95</v>
      </c>
      <c r="K99" s="451">
        <v>241.35300000000001</v>
      </c>
      <c r="L99" s="116">
        <f t="shared" si="24"/>
        <v>-1.5554608673349277E-3</v>
      </c>
      <c r="M99" s="452">
        <v>241.35300000000001</v>
      </c>
      <c r="O99" s="881"/>
      <c r="P99" s="444">
        <v>95</v>
      </c>
      <c r="Q99" s="444">
        <f t="shared" si="22"/>
        <v>144.33126683858973</v>
      </c>
      <c r="R99" s="116">
        <f t="shared" si="30"/>
        <v>1.032172713E-5</v>
      </c>
      <c r="S99" s="454">
        <f t="shared" si="28"/>
        <v>123.34796367734944</v>
      </c>
      <c r="T99" s="455">
        <f t="shared" si="29"/>
        <v>288.99362378935274</v>
      </c>
    </row>
    <row r="100" spans="1:23" x14ac:dyDescent="0.25">
      <c r="A100" s="298" t="s">
        <v>222</v>
      </c>
      <c r="B100" s="116">
        <v>2016</v>
      </c>
      <c r="C100" s="116">
        <v>96</v>
      </c>
      <c r="D100" s="116">
        <v>109.58</v>
      </c>
      <c r="E100" s="116">
        <f t="shared" si="23"/>
        <v>-1.8218254691200841E-3</v>
      </c>
      <c r="F100" s="440">
        <v>109.58</v>
      </c>
      <c r="H100" s="298" t="s">
        <v>222</v>
      </c>
      <c r="I100" s="116">
        <v>2016</v>
      </c>
      <c r="J100" s="116">
        <v>96</v>
      </c>
      <c r="K100" s="451">
        <v>241.43199999999999</v>
      </c>
      <c r="L100" s="116">
        <f t="shared" si="24"/>
        <v>3.2732139231739113E-4</v>
      </c>
      <c r="M100" s="452">
        <v>241.43199999999999</v>
      </c>
      <c r="O100" s="881"/>
      <c r="P100" s="444">
        <v>96</v>
      </c>
      <c r="Q100" s="444">
        <f t="shared" si="22"/>
        <v>144.33126683858973</v>
      </c>
      <c r="R100" s="116">
        <f t="shared" si="30"/>
        <v>1.032172713E-5</v>
      </c>
      <c r="S100" s="454">
        <f t="shared" si="28"/>
        <v>123.34796367734944</v>
      </c>
      <c r="T100" s="455">
        <f t="shared" si="29"/>
        <v>288.99362378935274</v>
      </c>
    </row>
    <row r="101" spans="1:23" x14ac:dyDescent="0.25">
      <c r="A101" s="298" t="s">
        <v>211</v>
      </c>
      <c r="B101" s="116">
        <v>2017</v>
      </c>
      <c r="C101" s="116">
        <v>97</v>
      </c>
      <c r="D101" s="116">
        <v>110.39</v>
      </c>
      <c r="E101" s="116">
        <f t="shared" si="23"/>
        <v>7.3918598284358665E-3</v>
      </c>
      <c r="F101" s="440">
        <v>110.39</v>
      </c>
      <c r="H101" s="298" t="s">
        <v>211</v>
      </c>
      <c r="I101" s="116">
        <v>2017</v>
      </c>
      <c r="J101" s="116">
        <v>97</v>
      </c>
      <c r="K101" s="444">
        <v>242.839</v>
      </c>
      <c r="L101" s="116">
        <f t="shared" si="24"/>
        <v>5.8277278902548572E-3</v>
      </c>
      <c r="M101" s="445">
        <v>242.839</v>
      </c>
      <c r="N101" s="446"/>
      <c r="O101" s="885">
        <v>9</v>
      </c>
      <c r="P101" s="444">
        <v>97</v>
      </c>
      <c r="Q101" s="444">
        <f t="shared" si="22"/>
        <v>146.92177465099053</v>
      </c>
      <c r="R101" s="444">
        <f>'Análisis Econ CCGT Nuevo'!G34</f>
        <v>1.0492334190000001E-5</v>
      </c>
      <c r="S101" s="447">
        <f>$D$220</f>
        <v>125.04999541859966</v>
      </c>
      <c r="T101" s="448">
        <f>$K$220</f>
        <v>294.89994524396792</v>
      </c>
      <c r="U101" s="446"/>
      <c r="V101" s="446"/>
      <c r="W101" s="446"/>
    </row>
    <row r="102" spans="1:23" x14ac:dyDescent="0.25">
      <c r="A102" s="298" t="s">
        <v>212</v>
      </c>
      <c r="B102" s="116">
        <v>2017</v>
      </c>
      <c r="C102" s="116">
        <v>98</v>
      </c>
      <c r="D102" s="116">
        <v>110.69</v>
      </c>
      <c r="E102" s="116">
        <f t="shared" si="23"/>
        <v>2.717637467161855E-3</v>
      </c>
      <c r="F102" s="440">
        <v>110.69</v>
      </c>
      <c r="H102" s="298" t="s">
        <v>212</v>
      </c>
      <c r="I102" s="116">
        <v>2017</v>
      </c>
      <c r="J102" s="116">
        <v>98</v>
      </c>
      <c r="K102" s="444">
        <v>243.60300000000001</v>
      </c>
      <c r="L102" s="116">
        <f t="shared" si="24"/>
        <v>3.1461173864165558E-3</v>
      </c>
      <c r="M102" s="445">
        <v>243.60300000000001</v>
      </c>
      <c r="O102" s="885"/>
      <c r="P102" s="444">
        <v>98</v>
      </c>
      <c r="Q102" s="444">
        <f t="shared" si="22"/>
        <v>146.92177465099053</v>
      </c>
      <c r="R102" s="116">
        <f>R101</f>
        <v>1.0492334190000001E-5</v>
      </c>
      <c r="S102" s="447">
        <f t="shared" ref="S102:S112" si="31">$D$220</f>
        <v>125.04999541859966</v>
      </c>
      <c r="T102" s="448">
        <f t="shared" ref="T102:T112" si="32">$K$220</f>
        <v>294.89994524396792</v>
      </c>
    </row>
    <row r="103" spans="1:23" x14ac:dyDescent="0.25">
      <c r="A103" s="298" t="s">
        <v>213</v>
      </c>
      <c r="B103" s="116">
        <v>2017</v>
      </c>
      <c r="C103" s="116">
        <v>99</v>
      </c>
      <c r="D103" s="116">
        <v>110.92</v>
      </c>
      <c r="E103" s="116">
        <f t="shared" si="23"/>
        <v>2.0778751468064323E-3</v>
      </c>
      <c r="F103" s="440">
        <v>110.92</v>
      </c>
      <c r="H103" s="298" t="s">
        <v>213</v>
      </c>
      <c r="I103" s="116">
        <v>2017</v>
      </c>
      <c r="J103" s="116">
        <v>99</v>
      </c>
      <c r="K103" s="444">
        <v>243.80099999999999</v>
      </c>
      <c r="L103" s="116">
        <f t="shared" si="24"/>
        <v>8.1279787194730394E-4</v>
      </c>
      <c r="M103" s="445">
        <v>243.80099999999999</v>
      </c>
      <c r="O103" s="885"/>
      <c r="P103" s="444">
        <v>99</v>
      </c>
      <c r="Q103" s="444">
        <f t="shared" si="22"/>
        <v>146.92177465099053</v>
      </c>
      <c r="R103" s="116">
        <f t="shared" ref="R103:R112" si="33">R102</f>
        <v>1.0492334190000001E-5</v>
      </c>
      <c r="S103" s="447">
        <f t="shared" si="31"/>
        <v>125.04999541859966</v>
      </c>
      <c r="T103" s="448">
        <f t="shared" si="32"/>
        <v>294.89994524396792</v>
      </c>
    </row>
    <row r="104" spans="1:23" x14ac:dyDescent="0.25">
      <c r="A104" s="298" t="s">
        <v>214</v>
      </c>
      <c r="B104" s="116">
        <v>2017</v>
      </c>
      <c r="C104" s="116">
        <v>100</v>
      </c>
      <c r="D104" s="116">
        <v>111</v>
      </c>
      <c r="E104" s="116">
        <f t="shared" si="23"/>
        <v>7.2124053371797959E-4</v>
      </c>
      <c r="F104" s="440">
        <v>111</v>
      </c>
      <c r="H104" s="298" t="s">
        <v>214</v>
      </c>
      <c r="I104" s="116">
        <v>2017</v>
      </c>
      <c r="J104" s="116">
        <v>100</v>
      </c>
      <c r="K104" s="444">
        <v>244.524</v>
      </c>
      <c r="L104" s="116">
        <f t="shared" si="24"/>
        <v>2.9655333653266936E-3</v>
      </c>
      <c r="M104" s="445">
        <v>244.524</v>
      </c>
      <c r="O104" s="885"/>
      <c r="P104" s="444">
        <v>100</v>
      </c>
      <c r="Q104" s="444">
        <f t="shared" si="22"/>
        <v>146.92177465099053</v>
      </c>
      <c r="R104" s="116">
        <f t="shared" si="33"/>
        <v>1.0492334190000001E-5</v>
      </c>
      <c r="S104" s="447">
        <f t="shared" si="31"/>
        <v>125.04999541859966</v>
      </c>
      <c r="T104" s="448">
        <f t="shared" si="32"/>
        <v>294.89994524396792</v>
      </c>
    </row>
    <row r="105" spans="1:23" x14ac:dyDescent="0.25">
      <c r="A105" s="298" t="s">
        <v>215</v>
      </c>
      <c r="B105" s="116">
        <v>2017</v>
      </c>
      <c r="C105" s="116">
        <v>101</v>
      </c>
      <c r="D105" s="116">
        <v>111.19</v>
      </c>
      <c r="E105" s="116">
        <f t="shared" si="23"/>
        <v>1.7117117117116912E-3</v>
      </c>
      <c r="F105" s="440">
        <v>111.19</v>
      </c>
      <c r="H105" s="298" t="s">
        <v>215</v>
      </c>
      <c r="I105" s="116">
        <v>2017</v>
      </c>
      <c r="J105" s="116">
        <v>101</v>
      </c>
      <c r="K105" s="444">
        <v>244.733</v>
      </c>
      <c r="L105" s="116">
        <f t="shared" si="24"/>
        <v>8.5472182689635035E-4</v>
      </c>
      <c r="M105" s="445">
        <v>244.733</v>
      </c>
      <c r="O105" s="885"/>
      <c r="P105" s="444">
        <v>101</v>
      </c>
      <c r="Q105" s="444">
        <f t="shared" si="22"/>
        <v>146.92177465099053</v>
      </c>
      <c r="R105" s="116">
        <f t="shared" si="33"/>
        <v>1.0492334190000001E-5</v>
      </c>
      <c r="S105" s="447">
        <f t="shared" si="31"/>
        <v>125.04999541859966</v>
      </c>
      <c r="T105" s="448">
        <f t="shared" si="32"/>
        <v>294.89994524396792</v>
      </c>
    </row>
    <row r="106" spans="1:23" x14ac:dyDescent="0.25">
      <c r="A106" s="298" t="s">
        <v>216</v>
      </c>
      <c r="B106" s="116">
        <v>2017</v>
      </c>
      <c r="C106" s="116">
        <v>102</v>
      </c>
      <c r="D106" s="116">
        <v>111.26</v>
      </c>
      <c r="E106" s="116">
        <f t="shared" si="23"/>
        <v>6.2955301735774256E-4</v>
      </c>
      <c r="F106" s="440">
        <v>111.26</v>
      </c>
      <c r="H106" s="298" t="s">
        <v>216</v>
      </c>
      <c r="I106" s="116">
        <v>2017</v>
      </c>
      <c r="J106" s="116">
        <v>102</v>
      </c>
      <c r="K106" s="444">
        <v>244.95500000000001</v>
      </c>
      <c r="L106" s="116">
        <f t="shared" si="24"/>
        <v>9.0711101486112789E-4</v>
      </c>
      <c r="M106" s="445">
        <v>244.95500000000001</v>
      </c>
      <c r="O106" s="885"/>
      <c r="P106" s="444">
        <v>102</v>
      </c>
      <c r="Q106" s="444">
        <f t="shared" si="22"/>
        <v>146.92177465099053</v>
      </c>
      <c r="R106" s="116">
        <f t="shared" si="33"/>
        <v>1.0492334190000001E-5</v>
      </c>
      <c r="S106" s="447">
        <f t="shared" si="31"/>
        <v>125.04999541859966</v>
      </c>
      <c r="T106" s="448">
        <f t="shared" si="32"/>
        <v>294.89994524396792</v>
      </c>
    </row>
    <row r="107" spans="1:23" x14ac:dyDescent="0.25">
      <c r="A107" s="298" t="s">
        <v>217</v>
      </c>
      <c r="B107" s="116">
        <v>2017</v>
      </c>
      <c r="C107" s="116">
        <v>103</v>
      </c>
      <c r="D107" s="116">
        <v>111.24</v>
      </c>
      <c r="E107" s="116">
        <f t="shared" si="23"/>
        <v>-1.7975912277557281E-4</v>
      </c>
      <c r="F107" s="440">
        <v>111.24</v>
      </c>
      <c r="H107" s="298" t="s">
        <v>217</v>
      </c>
      <c r="I107" s="116">
        <v>2017</v>
      </c>
      <c r="J107" s="116">
        <v>103</v>
      </c>
      <c r="K107" s="444">
        <v>244.786</v>
      </c>
      <c r="L107" s="116">
        <f t="shared" si="24"/>
        <v>-6.8992263885207946E-4</v>
      </c>
      <c r="M107" s="445">
        <v>244.786</v>
      </c>
      <c r="O107" s="885"/>
      <c r="P107" s="444">
        <v>103</v>
      </c>
      <c r="Q107" s="444">
        <f t="shared" si="22"/>
        <v>146.92177465099053</v>
      </c>
      <c r="R107" s="116">
        <f t="shared" si="33"/>
        <v>1.0492334190000001E-5</v>
      </c>
      <c r="S107" s="447">
        <f t="shared" si="31"/>
        <v>125.04999541859966</v>
      </c>
      <c r="T107" s="448">
        <f t="shared" si="32"/>
        <v>294.89994524396792</v>
      </c>
    </row>
    <row r="108" spans="1:23" x14ac:dyDescent="0.25">
      <c r="A108" s="298" t="s">
        <v>218</v>
      </c>
      <c r="B108" s="116">
        <v>2017</v>
      </c>
      <c r="C108" s="116">
        <v>104</v>
      </c>
      <c r="D108" s="116">
        <v>111.1</v>
      </c>
      <c r="E108" s="116">
        <f t="shared" si="23"/>
        <v>-1.258540093491555E-3</v>
      </c>
      <c r="F108" s="440">
        <v>111.1</v>
      </c>
      <c r="H108" s="298" t="s">
        <v>218</v>
      </c>
      <c r="I108" s="116">
        <v>2017</v>
      </c>
      <c r="J108" s="116">
        <v>104</v>
      </c>
      <c r="K108" s="444">
        <v>245.51900000000001</v>
      </c>
      <c r="L108" s="116">
        <f t="shared" si="24"/>
        <v>2.9944522971085113E-3</v>
      </c>
      <c r="M108" s="445">
        <v>245.51900000000001</v>
      </c>
      <c r="O108" s="885"/>
      <c r="P108" s="444">
        <v>104</v>
      </c>
      <c r="Q108" s="444">
        <f t="shared" si="22"/>
        <v>146.92177465099053</v>
      </c>
      <c r="R108" s="116">
        <f t="shared" si="33"/>
        <v>1.0492334190000001E-5</v>
      </c>
      <c r="S108" s="447">
        <f t="shared" si="31"/>
        <v>125.04999541859966</v>
      </c>
      <c r="T108" s="448">
        <f t="shared" si="32"/>
        <v>294.89994524396792</v>
      </c>
    </row>
    <row r="109" spans="1:23" x14ac:dyDescent="0.25">
      <c r="A109" s="298" t="s">
        <v>219</v>
      </c>
      <c r="B109" s="116">
        <v>2017</v>
      </c>
      <c r="C109" s="116">
        <v>105</v>
      </c>
      <c r="D109" s="116">
        <v>111.22</v>
      </c>
      <c r="E109" s="116">
        <f t="shared" si="23"/>
        <v>1.080108010801121E-3</v>
      </c>
      <c r="F109" s="440">
        <v>111.22</v>
      </c>
      <c r="H109" s="298" t="s">
        <v>219</v>
      </c>
      <c r="I109" s="116">
        <v>2017</v>
      </c>
      <c r="J109" s="116">
        <v>105</v>
      </c>
      <c r="K109" s="444">
        <v>246.81899999999999</v>
      </c>
      <c r="L109" s="116">
        <f t="shared" si="24"/>
        <v>5.2949058932301894E-3</v>
      </c>
      <c r="M109" s="445">
        <v>246.81899999999999</v>
      </c>
      <c r="O109" s="885"/>
      <c r="P109" s="444">
        <v>105</v>
      </c>
      <c r="Q109" s="444">
        <f t="shared" si="22"/>
        <v>146.92177465099053</v>
      </c>
      <c r="R109" s="116">
        <f t="shared" si="33"/>
        <v>1.0492334190000001E-5</v>
      </c>
      <c r="S109" s="447">
        <f t="shared" si="31"/>
        <v>125.04999541859966</v>
      </c>
      <c r="T109" s="448">
        <f t="shared" si="32"/>
        <v>294.89994524396792</v>
      </c>
    </row>
    <row r="110" spans="1:23" x14ac:dyDescent="0.25">
      <c r="A110" s="298" t="s">
        <v>220</v>
      </c>
      <c r="B110" s="116">
        <v>2017</v>
      </c>
      <c r="C110" s="116">
        <v>106</v>
      </c>
      <c r="D110" s="116">
        <v>111.36</v>
      </c>
      <c r="E110" s="116">
        <f t="shared" si="23"/>
        <v>1.2587664089192643E-3</v>
      </c>
      <c r="F110" s="440">
        <v>111.36</v>
      </c>
      <c r="H110" s="298" t="s">
        <v>220</v>
      </c>
      <c r="I110" s="116">
        <v>2017</v>
      </c>
      <c r="J110" s="116">
        <v>106</v>
      </c>
      <c r="K110" s="444">
        <v>246.66300000000001</v>
      </c>
      <c r="L110" s="116">
        <f t="shared" si="24"/>
        <v>-6.3204210372774176E-4</v>
      </c>
      <c r="M110" s="445">
        <v>246.66300000000001</v>
      </c>
      <c r="O110" s="885"/>
      <c r="P110" s="444">
        <v>106</v>
      </c>
      <c r="Q110" s="444">
        <f t="shared" si="22"/>
        <v>146.92177465099053</v>
      </c>
      <c r="R110" s="116">
        <f t="shared" si="33"/>
        <v>1.0492334190000001E-5</v>
      </c>
      <c r="S110" s="447">
        <f t="shared" si="31"/>
        <v>125.04999541859966</v>
      </c>
      <c r="T110" s="448">
        <f t="shared" si="32"/>
        <v>294.89994524396792</v>
      </c>
    </row>
    <row r="111" spans="1:23" x14ac:dyDescent="0.25">
      <c r="A111" s="298" t="s">
        <v>221</v>
      </c>
      <c r="B111" s="116">
        <v>2017</v>
      </c>
      <c r="C111" s="116">
        <v>107</v>
      </c>
      <c r="D111" s="116">
        <v>111.62</v>
      </c>
      <c r="E111" s="116">
        <f t="shared" si="23"/>
        <v>2.3347701149425749E-3</v>
      </c>
      <c r="F111" s="440">
        <v>111.62</v>
      </c>
      <c r="H111" s="298" t="s">
        <v>221</v>
      </c>
      <c r="I111" s="116">
        <v>2017</v>
      </c>
      <c r="J111" s="116">
        <v>107</v>
      </c>
      <c r="K111" s="444">
        <v>246.66900000000001</v>
      </c>
      <c r="L111" s="116">
        <f t="shared" si="24"/>
        <v>2.4324685907494139E-5</v>
      </c>
      <c r="M111" s="445">
        <v>246.66900000000001</v>
      </c>
      <c r="O111" s="885"/>
      <c r="P111" s="444">
        <v>107</v>
      </c>
      <c r="Q111" s="444">
        <f t="shared" si="22"/>
        <v>146.92177465099053</v>
      </c>
      <c r="R111" s="116">
        <f t="shared" si="33"/>
        <v>1.0492334190000001E-5</v>
      </c>
      <c r="S111" s="447">
        <f t="shared" si="31"/>
        <v>125.04999541859966</v>
      </c>
      <c r="T111" s="448">
        <f t="shared" si="32"/>
        <v>294.89994524396792</v>
      </c>
    </row>
    <row r="112" spans="1:23" x14ac:dyDescent="0.25">
      <c r="A112" s="298" t="s">
        <v>222</v>
      </c>
      <c r="B112" s="116">
        <v>2017</v>
      </c>
      <c r="C112" s="116">
        <v>108</v>
      </c>
      <c r="D112" s="116">
        <v>111.81</v>
      </c>
      <c r="E112" s="116">
        <f t="shared" si="23"/>
        <v>1.7022039061099956E-3</v>
      </c>
      <c r="F112" s="440">
        <v>111.81</v>
      </c>
      <c r="H112" s="298" t="s">
        <v>222</v>
      </c>
      <c r="I112" s="116">
        <v>2017</v>
      </c>
      <c r="J112" s="116">
        <v>108</v>
      </c>
      <c r="K112" s="444">
        <v>246.524</v>
      </c>
      <c r="L112" s="116">
        <f t="shared" si="24"/>
        <v>-5.878322772622836E-4</v>
      </c>
      <c r="M112" s="445">
        <v>246.524</v>
      </c>
      <c r="O112" s="885"/>
      <c r="P112" s="444">
        <v>108</v>
      </c>
      <c r="Q112" s="444">
        <f t="shared" si="22"/>
        <v>146.92177465099053</v>
      </c>
      <c r="R112" s="116">
        <f t="shared" si="33"/>
        <v>1.0492334190000001E-5</v>
      </c>
      <c r="S112" s="447">
        <f t="shared" si="31"/>
        <v>125.04999541859966</v>
      </c>
      <c r="T112" s="448">
        <f t="shared" si="32"/>
        <v>294.89994524396792</v>
      </c>
    </row>
    <row r="113" spans="1:20" x14ac:dyDescent="0.25">
      <c r="A113" s="298" t="s">
        <v>211</v>
      </c>
      <c r="B113" s="116">
        <v>2018</v>
      </c>
      <c r="C113" s="116">
        <v>109</v>
      </c>
      <c r="D113" s="116">
        <v>111.96</v>
      </c>
      <c r="E113" s="116">
        <f t="shared" si="23"/>
        <v>1.3415615776763391E-3</v>
      </c>
      <c r="F113" s="440">
        <v>111.96</v>
      </c>
      <c r="H113" s="298" t="s">
        <v>211</v>
      </c>
      <c r="I113" s="116">
        <v>2018</v>
      </c>
      <c r="J113" s="116">
        <v>109</v>
      </c>
      <c r="K113" s="451">
        <v>247.86699999999999</v>
      </c>
      <c r="L113" s="116">
        <f t="shared" si="24"/>
        <v>5.4477454527753454E-3</v>
      </c>
      <c r="M113" s="452">
        <v>247.86699999999999</v>
      </c>
      <c r="N113" s="453"/>
      <c r="O113" s="884">
        <v>10</v>
      </c>
      <c r="P113" s="444">
        <v>109</v>
      </c>
      <c r="Q113" s="444">
        <f t="shared" si="22"/>
        <v>148.57980314006113</v>
      </c>
      <c r="R113" s="451">
        <f>'Análisis Econ CCGT Nuevo'!G35</f>
        <v>1.056815955E-5</v>
      </c>
      <c r="S113" s="458">
        <f>$D$231</f>
        <v>126.50850704620622</v>
      </c>
      <c r="T113" s="450">
        <f>$K$231</f>
        <v>299.99178656288092</v>
      </c>
    </row>
    <row r="114" spans="1:20" x14ac:dyDescent="0.25">
      <c r="A114" s="298" t="s">
        <v>212</v>
      </c>
      <c r="B114" s="116">
        <v>2018</v>
      </c>
      <c r="C114" s="116">
        <v>110</v>
      </c>
      <c r="D114" s="116">
        <v>112.05</v>
      </c>
      <c r="E114" s="116">
        <f t="shared" si="23"/>
        <v>8.03858520900352E-4</v>
      </c>
      <c r="F114" s="440">
        <v>112.05</v>
      </c>
      <c r="H114" s="298" t="s">
        <v>212</v>
      </c>
      <c r="I114" s="116">
        <v>2018</v>
      </c>
      <c r="J114" s="116">
        <v>110</v>
      </c>
      <c r="K114" s="451">
        <v>248.99100000000001</v>
      </c>
      <c r="L114" s="116">
        <f t="shared" si="24"/>
        <v>4.5346899748656489E-3</v>
      </c>
      <c r="M114" s="452">
        <v>248.99100000000001</v>
      </c>
      <c r="O114" s="884"/>
      <c r="P114" s="444">
        <v>110</v>
      </c>
      <c r="Q114" s="444">
        <f t="shared" si="22"/>
        <v>148.57980314006113</v>
      </c>
      <c r="R114" s="116">
        <f>R113</f>
        <v>1.056815955E-5</v>
      </c>
      <c r="S114" s="458">
        <f t="shared" ref="S114:S124" si="34">$D$231</f>
        <v>126.50850704620622</v>
      </c>
      <c r="T114" s="450">
        <f t="shared" ref="T114:T124" si="35">$K$231</f>
        <v>299.99178656288092</v>
      </c>
    </row>
    <row r="115" spans="1:20" x14ac:dyDescent="0.25">
      <c r="A115" s="298" t="s">
        <v>213</v>
      </c>
      <c r="B115" s="116">
        <v>2018</v>
      </c>
      <c r="C115" s="116">
        <v>111</v>
      </c>
      <c r="D115" s="116">
        <v>111.93</v>
      </c>
      <c r="E115" s="116">
        <f t="shared" si="23"/>
        <v>-1.0709504685407437E-3</v>
      </c>
      <c r="F115" s="440">
        <v>111.93</v>
      </c>
      <c r="H115" s="298" t="s">
        <v>213</v>
      </c>
      <c r="I115" s="116">
        <v>2018</v>
      </c>
      <c r="J115" s="116">
        <v>111</v>
      </c>
      <c r="K115" s="451">
        <v>249.554</v>
      </c>
      <c r="L115" s="116">
        <f t="shared" si="24"/>
        <v>2.2611259041490982E-3</v>
      </c>
      <c r="M115" s="452">
        <v>249.554</v>
      </c>
      <c r="O115" s="884"/>
      <c r="P115" s="444">
        <v>111</v>
      </c>
      <c r="Q115" s="444">
        <f t="shared" si="22"/>
        <v>148.57980314006113</v>
      </c>
      <c r="R115" s="116">
        <f t="shared" ref="R115:R124" si="36">R114</f>
        <v>1.056815955E-5</v>
      </c>
      <c r="S115" s="458">
        <f t="shared" si="34"/>
        <v>126.50850704620622</v>
      </c>
      <c r="T115" s="450">
        <f t="shared" si="35"/>
        <v>299.99178656288092</v>
      </c>
    </row>
    <row r="116" spans="1:20" x14ac:dyDescent="0.25">
      <c r="A116" s="298" t="s">
        <v>214</v>
      </c>
      <c r="B116" s="116">
        <v>2018</v>
      </c>
      <c r="C116" s="116">
        <v>112</v>
      </c>
      <c r="D116" s="116">
        <v>111.97</v>
      </c>
      <c r="E116" s="116">
        <f t="shared" si="23"/>
        <v>3.5736621102467649E-4</v>
      </c>
      <c r="F116" s="440">
        <v>111.97</v>
      </c>
      <c r="H116" s="298" t="s">
        <v>214</v>
      </c>
      <c r="I116" s="116">
        <v>2018</v>
      </c>
      <c r="J116" s="116">
        <v>112</v>
      </c>
      <c r="K116" s="451">
        <v>250.54599999999999</v>
      </c>
      <c r="L116" s="116">
        <f t="shared" si="24"/>
        <v>3.9750915633489751E-3</v>
      </c>
      <c r="M116" s="452">
        <v>250.54599999999999</v>
      </c>
      <c r="O116" s="884"/>
      <c r="P116" s="444">
        <v>112</v>
      </c>
      <c r="Q116" s="444">
        <f t="shared" si="22"/>
        <v>148.57980314006113</v>
      </c>
      <c r="R116" s="116">
        <f t="shared" si="36"/>
        <v>1.056815955E-5</v>
      </c>
      <c r="S116" s="458">
        <f t="shared" si="34"/>
        <v>126.50850704620622</v>
      </c>
      <c r="T116" s="450">
        <f t="shared" si="35"/>
        <v>299.99178656288092</v>
      </c>
    </row>
    <row r="117" spans="1:20" x14ac:dyDescent="0.25">
      <c r="A117" s="298" t="s">
        <v>215</v>
      </c>
      <c r="B117" s="116">
        <v>2018</v>
      </c>
      <c r="C117" s="116">
        <v>113</v>
      </c>
      <c r="D117" s="116">
        <v>112.11</v>
      </c>
      <c r="E117" s="116">
        <f t="shared" si="23"/>
        <v>1.2503349111369169E-3</v>
      </c>
      <c r="F117" s="440">
        <v>112.11</v>
      </c>
      <c r="H117" s="298" t="s">
        <v>215</v>
      </c>
      <c r="I117" s="116">
        <v>2018</v>
      </c>
      <c r="J117" s="116">
        <v>113</v>
      </c>
      <c r="K117" s="451">
        <v>251.58799999999999</v>
      </c>
      <c r="L117" s="116">
        <f t="shared" si="24"/>
        <v>4.1589169254348567E-3</v>
      </c>
      <c r="M117" s="452">
        <v>251.58799999999999</v>
      </c>
      <c r="O117" s="884"/>
      <c r="P117" s="444">
        <v>113</v>
      </c>
      <c r="Q117" s="444">
        <f t="shared" si="22"/>
        <v>148.57980314006113</v>
      </c>
      <c r="R117" s="116">
        <f t="shared" si="36"/>
        <v>1.056815955E-5</v>
      </c>
      <c r="S117" s="458">
        <f t="shared" si="34"/>
        <v>126.50850704620622</v>
      </c>
      <c r="T117" s="450">
        <f t="shared" si="35"/>
        <v>299.99178656288092</v>
      </c>
    </row>
    <row r="118" spans="1:20" x14ac:dyDescent="0.25">
      <c r="A118" s="298" t="s">
        <v>216</v>
      </c>
      <c r="B118" s="116">
        <v>2018</v>
      </c>
      <c r="C118" s="116">
        <v>114</v>
      </c>
      <c r="D118" s="116">
        <v>112.26</v>
      </c>
      <c r="E118" s="116">
        <f t="shared" si="23"/>
        <v>1.3379716350013886E-3</v>
      </c>
      <c r="F118" s="440">
        <v>112.26</v>
      </c>
      <c r="H118" s="298" t="s">
        <v>216</v>
      </c>
      <c r="I118" s="116">
        <v>2018</v>
      </c>
      <c r="J118" s="116">
        <v>114</v>
      </c>
      <c r="K118" s="451">
        <v>251.989</v>
      </c>
      <c r="L118" s="116">
        <f t="shared" si="24"/>
        <v>1.5938757015438354E-3</v>
      </c>
      <c r="M118" s="452">
        <v>251.989</v>
      </c>
      <c r="O118" s="884"/>
      <c r="P118" s="444">
        <v>114</v>
      </c>
      <c r="Q118" s="444">
        <f t="shared" si="22"/>
        <v>148.57980314006113</v>
      </c>
      <c r="R118" s="116">
        <f t="shared" si="36"/>
        <v>1.056815955E-5</v>
      </c>
      <c r="S118" s="458">
        <f t="shared" si="34"/>
        <v>126.50850704620622</v>
      </c>
      <c r="T118" s="450">
        <f t="shared" si="35"/>
        <v>299.99178656288092</v>
      </c>
    </row>
    <row r="119" spans="1:20" x14ac:dyDescent="0.25">
      <c r="A119" s="298" t="s">
        <v>217</v>
      </c>
      <c r="B119" s="116">
        <v>2018</v>
      </c>
      <c r="C119" s="116">
        <v>115</v>
      </c>
      <c r="D119" s="116">
        <v>112.42</v>
      </c>
      <c r="E119" s="116">
        <f t="shared" si="23"/>
        <v>1.4252627828255529E-3</v>
      </c>
      <c r="F119" s="440">
        <v>112.42</v>
      </c>
      <c r="H119" s="298" t="s">
        <v>217</v>
      </c>
      <c r="I119" s="116">
        <v>2018</v>
      </c>
      <c r="J119" s="116">
        <v>115</v>
      </c>
      <c r="K119" s="451">
        <v>252.006</v>
      </c>
      <c r="L119" s="116">
        <f t="shared" si="24"/>
        <v>6.7463262285242246E-5</v>
      </c>
      <c r="M119" s="452">
        <v>252.006</v>
      </c>
      <c r="O119" s="884"/>
      <c r="P119" s="444">
        <v>115</v>
      </c>
      <c r="Q119" s="444">
        <f t="shared" si="22"/>
        <v>148.57980314006113</v>
      </c>
      <c r="R119" s="116">
        <f t="shared" si="36"/>
        <v>1.056815955E-5</v>
      </c>
      <c r="S119" s="458">
        <f t="shared" si="34"/>
        <v>126.50850704620622</v>
      </c>
      <c r="T119" s="450">
        <f t="shared" si="35"/>
        <v>299.99178656288092</v>
      </c>
    </row>
    <row r="120" spans="1:20" x14ac:dyDescent="0.25">
      <c r="A120" s="459" t="s">
        <v>218</v>
      </c>
      <c r="B120" s="460">
        <v>2018</v>
      </c>
      <c r="C120" s="460">
        <v>116</v>
      </c>
      <c r="D120" s="461">
        <f>D119*(1+$E$120)</f>
        <v>112.53857293896102</v>
      </c>
      <c r="E120" s="462">
        <f>AVERAGE(E6:E119)</f>
        <v>1.0547317110925372E-3</v>
      </c>
      <c r="F120" s="463">
        <f>0.105*C120+101.46</f>
        <v>113.63999999999999</v>
      </c>
      <c r="G120" s="464"/>
      <c r="H120" s="459" t="s">
        <v>218</v>
      </c>
      <c r="I120" s="460">
        <v>2018</v>
      </c>
      <c r="J120" s="460">
        <v>116</v>
      </c>
      <c r="K120" s="465">
        <f>K119*(1+$L$120)</f>
        <v>252.39849462079403</v>
      </c>
      <c r="L120" s="466">
        <f>AVERAGE(L6:L119)</f>
        <v>1.557481253597177E-3</v>
      </c>
      <c r="M120" s="467">
        <f>0.3105*J120+214.17</f>
        <v>250.18799999999999</v>
      </c>
      <c r="O120" s="884"/>
      <c r="P120" s="444">
        <v>116</v>
      </c>
      <c r="Q120" s="444">
        <f t="shared" si="22"/>
        <v>148.57980314006113</v>
      </c>
      <c r="R120" s="116">
        <f t="shared" si="36"/>
        <v>1.056815955E-5</v>
      </c>
      <c r="S120" s="458">
        <f t="shared" si="34"/>
        <v>126.50850704620622</v>
      </c>
      <c r="T120" s="450">
        <f t="shared" si="35"/>
        <v>299.99178656288092</v>
      </c>
    </row>
    <row r="121" spans="1:20" x14ac:dyDescent="0.25">
      <c r="A121" s="298" t="s">
        <v>219</v>
      </c>
      <c r="B121" s="116">
        <v>2018</v>
      </c>
      <c r="C121" s="116">
        <v>117</v>
      </c>
      <c r="D121" s="458">
        <f t="shared" ref="D121:D184" si="37">D120*(1+$E$120)</f>
        <v>112.65727094056085</v>
      </c>
      <c r="E121" s="116"/>
      <c r="F121" s="468">
        <f t="shared" ref="F121:F184" si="38">0.105*C121+101.46</f>
        <v>113.74499999999999</v>
      </c>
      <c r="H121" s="298" t="s">
        <v>219</v>
      </c>
      <c r="I121" s="116">
        <v>2018</v>
      </c>
      <c r="J121" s="116">
        <v>117</v>
      </c>
      <c r="K121" s="469">
        <f t="shared" ref="K121:K184" si="39">K120*(1+$L$120)</f>
        <v>252.79160054460206</v>
      </c>
      <c r="L121" s="116"/>
      <c r="M121" s="440">
        <f t="shared" ref="M121:M184" si="40">0.3105*J121+214.17</f>
        <v>250.49849999999998</v>
      </c>
      <c r="O121" s="884"/>
      <c r="P121" s="444">
        <v>117</v>
      </c>
      <c r="Q121" s="444">
        <f t="shared" si="22"/>
        <v>148.57980314006113</v>
      </c>
      <c r="R121" s="116">
        <f t="shared" si="36"/>
        <v>1.056815955E-5</v>
      </c>
      <c r="S121" s="458">
        <f t="shared" si="34"/>
        <v>126.50850704620622</v>
      </c>
      <c r="T121" s="450">
        <f t="shared" si="35"/>
        <v>299.99178656288092</v>
      </c>
    </row>
    <row r="122" spans="1:20" x14ac:dyDescent="0.25">
      <c r="A122" s="298" t="s">
        <v>220</v>
      </c>
      <c r="B122" s="116">
        <v>2018</v>
      </c>
      <c r="C122" s="116">
        <v>118</v>
      </c>
      <c r="D122" s="458">
        <f t="shared" si="37"/>
        <v>112.776094136707</v>
      </c>
      <c r="E122" s="116"/>
      <c r="F122" s="468">
        <f t="shared" si="38"/>
        <v>113.85</v>
      </c>
      <c r="H122" s="298" t="s">
        <v>220</v>
      </c>
      <c r="I122" s="116">
        <v>2018</v>
      </c>
      <c r="J122" s="116">
        <v>118</v>
      </c>
      <c r="K122" s="469">
        <f t="shared" si="39"/>
        <v>253.18531872351713</v>
      </c>
      <c r="L122" s="116"/>
      <c r="M122" s="440">
        <f t="shared" si="40"/>
        <v>250.809</v>
      </c>
      <c r="O122" s="884"/>
      <c r="P122" s="444">
        <v>118</v>
      </c>
      <c r="Q122" s="444">
        <f t="shared" si="22"/>
        <v>148.57980314006113</v>
      </c>
      <c r="R122" s="116">
        <f t="shared" si="36"/>
        <v>1.056815955E-5</v>
      </c>
      <c r="S122" s="458">
        <f t="shared" si="34"/>
        <v>126.50850704620622</v>
      </c>
      <c r="T122" s="450">
        <f t="shared" si="35"/>
        <v>299.99178656288092</v>
      </c>
    </row>
    <row r="123" spans="1:20" x14ac:dyDescent="0.25">
      <c r="A123" s="298" t="s">
        <v>221</v>
      </c>
      <c r="B123" s="116">
        <v>2018</v>
      </c>
      <c r="C123" s="116">
        <v>119</v>
      </c>
      <c r="D123" s="458">
        <f t="shared" si="37"/>
        <v>112.89504265944613</v>
      </c>
      <c r="E123" s="116"/>
      <c r="F123" s="468">
        <f t="shared" si="38"/>
        <v>113.955</v>
      </c>
      <c r="H123" s="298" t="s">
        <v>221</v>
      </c>
      <c r="I123" s="116">
        <v>2018</v>
      </c>
      <c r="J123" s="116">
        <v>119</v>
      </c>
      <c r="K123" s="469">
        <f t="shared" si="39"/>
        <v>253.57965011111506</v>
      </c>
      <c r="L123" s="116"/>
      <c r="M123" s="440">
        <f t="shared" si="40"/>
        <v>251.11949999999999</v>
      </c>
      <c r="O123" s="884"/>
      <c r="P123" s="444">
        <v>119</v>
      </c>
      <c r="Q123" s="444">
        <f t="shared" si="22"/>
        <v>148.57980314006113</v>
      </c>
      <c r="R123" s="116">
        <f t="shared" si="36"/>
        <v>1.056815955E-5</v>
      </c>
      <c r="S123" s="458">
        <f t="shared" si="34"/>
        <v>126.50850704620622</v>
      </c>
      <c r="T123" s="450">
        <f t="shared" si="35"/>
        <v>299.99178656288092</v>
      </c>
    </row>
    <row r="124" spans="1:20" x14ac:dyDescent="0.25">
      <c r="A124" s="298" t="s">
        <v>222</v>
      </c>
      <c r="B124" s="116">
        <v>2018</v>
      </c>
      <c r="C124" s="116">
        <v>120</v>
      </c>
      <c r="D124" s="458">
        <f t="shared" si="37"/>
        <v>113.01411664096419</v>
      </c>
      <c r="E124" s="116"/>
      <c r="F124" s="468">
        <f t="shared" si="38"/>
        <v>114.05999999999999</v>
      </c>
      <c r="H124" s="298" t="s">
        <v>222</v>
      </c>
      <c r="I124" s="116">
        <v>2018</v>
      </c>
      <c r="J124" s="116">
        <v>120</v>
      </c>
      <c r="K124" s="469">
        <f t="shared" si="39"/>
        <v>253.97459566245686</v>
      </c>
      <c r="L124" s="116"/>
      <c r="M124" s="440">
        <f t="shared" si="40"/>
        <v>251.42999999999998</v>
      </c>
      <c r="O124" s="884"/>
      <c r="P124" s="444">
        <v>120</v>
      </c>
      <c r="Q124" s="444">
        <f t="shared" si="22"/>
        <v>148.57980314006113</v>
      </c>
      <c r="R124" s="116">
        <f t="shared" si="36"/>
        <v>1.056815955E-5</v>
      </c>
      <c r="S124" s="458">
        <f t="shared" si="34"/>
        <v>126.50850704620622</v>
      </c>
      <c r="T124" s="450">
        <f t="shared" si="35"/>
        <v>299.99178656288092</v>
      </c>
    </row>
    <row r="125" spans="1:20" x14ac:dyDescent="0.25">
      <c r="A125" s="298" t="s">
        <v>211</v>
      </c>
      <c r="B125" s="116">
        <v>2019</v>
      </c>
      <c r="C125" s="116">
        <v>121</v>
      </c>
      <c r="D125" s="458">
        <f t="shared" si="37"/>
        <v>113.13331621358653</v>
      </c>
      <c r="E125" s="116"/>
      <c r="F125" s="468">
        <f t="shared" si="38"/>
        <v>114.16499999999999</v>
      </c>
      <c r="H125" s="298" t="s">
        <v>211</v>
      </c>
      <c r="I125" s="116">
        <v>2019</v>
      </c>
      <c r="J125" s="116">
        <v>121</v>
      </c>
      <c r="K125" s="469">
        <f t="shared" si="39"/>
        <v>254.37015633409106</v>
      </c>
      <c r="L125" s="116"/>
      <c r="M125" s="440">
        <f t="shared" si="40"/>
        <v>251.7405</v>
      </c>
      <c r="O125" s="881">
        <v>11</v>
      </c>
      <c r="P125" s="444">
        <v>121</v>
      </c>
      <c r="Q125" s="444">
        <f t="shared" si="22"/>
        <v>151.04140523779253</v>
      </c>
      <c r="R125" s="116">
        <f>'Análisis Econ CCGT Nuevo'!G36</f>
        <v>1.072928844E-5</v>
      </c>
      <c r="S125" s="458">
        <f>$D$243</f>
        <v>128.11901873415022</v>
      </c>
      <c r="T125" s="450">
        <f>$K$243</f>
        <v>305.64684428199968</v>
      </c>
    </row>
    <row r="126" spans="1:20" x14ac:dyDescent="0.25">
      <c r="A126" s="298" t="s">
        <v>212</v>
      </c>
      <c r="B126" s="116">
        <v>2019</v>
      </c>
      <c r="C126" s="116">
        <v>122</v>
      </c>
      <c r="D126" s="458">
        <f t="shared" si="37"/>
        <v>113.25264150977804</v>
      </c>
      <c r="E126" s="116"/>
      <c r="F126" s="468">
        <f t="shared" si="38"/>
        <v>114.27</v>
      </c>
      <c r="H126" s="298" t="s">
        <v>212</v>
      </c>
      <c r="I126" s="116">
        <v>2019</v>
      </c>
      <c r="J126" s="116">
        <v>122</v>
      </c>
      <c r="K126" s="469">
        <f t="shared" si="39"/>
        <v>254.76633308405601</v>
      </c>
      <c r="L126" s="116"/>
      <c r="M126" s="440">
        <f t="shared" si="40"/>
        <v>252.05099999999999</v>
      </c>
      <c r="O126" s="881"/>
      <c r="P126" s="444">
        <v>122</v>
      </c>
      <c r="Q126" s="444">
        <f t="shared" si="22"/>
        <v>151.04140523779253</v>
      </c>
      <c r="R126" s="116">
        <f>R125</f>
        <v>1.072928844E-5</v>
      </c>
      <c r="S126" s="458">
        <f t="shared" ref="S126:S136" si="41">$D$243</f>
        <v>128.11901873415022</v>
      </c>
      <c r="T126" s="450">
        <f t="shared" ref="T126:T136" si="42">$K$243</f>
        <v>305.64684428199968</v>
      </c>
    </row>
    <row r="127" spans="1:20" x14ac:dyDescent="0.25">
      <c r="A127" s="298" t="s">
        <v>213</v>
      </c>
      <c r="B127" s="116">
        <v>2019</v>
      </c>
      <c r="C127" s="116">
        <v>123</v>
      </c>
      <c r="D127" s="458">
        <f t="shared" si="37"/>
        <v>113.3720926621434</v>
      </c>
      <c r="E127" s="116"/>
      <c r="F127" s="468">
        <f t="shared" si="38"/>
        <v>114.375</v>
      </c>
      <c r="H127" s="298" t="s">
        <v>213</v>
      </c>
      <c r="I127" s="116">
        <v>2019</v>
      </c>
      <c r="J127" s="116">
        <v>123</v>
      </c>
      <c r="K127" s="469">
        <f t="shared" si="39"/>
        <v>255.16312687188213</v>
      </c>
      <c r="L127" s="116"/>
      <c r="M127" s="440">
        <f t="shared" si="40"/>
        <v>252.36149999999998</v>
      </c>
      <c r="O127" s="881"/>
      <c r="P127" s="444">
        <v>123</v>
      </c>
      <c r="Q127" s="444">
        <f t="shared" si="22"/>
        <v>151.04140523779253</v>
      </c>
      <c r="R127" s="116">
        <f t="shared" ref="R127:R136" si="43">R126</f>
        <v>1.072928844E-5</v>
      </c>
      <c r="S127" s="458">
        <f t="shared" si="41"/>
        <v>128.11901873415022</v>
      </c>
      <c r="T127" s="450">
        <f t="shared" si="42"/>
        <v>305.64684428199968</v>
      </c>
    </row>
    <row r="128" spans="1:20" x14ac:dyDescent="0.25">
      <c r="A128" s="298" t="s">
        <v>214</v>
      </c>
      <c r="B128" s="116">
        <v>2019</v>
      </c>
      <c r="C128" s="116">
        <v>124</v>
      </c>
      <c r="D128" s="458">
        <f t="shared" si="37"/>
        <v>113.49166980342709</v>
      </c>
      <c r="E128" s="116"/>
      <c r="F128" s="468">
        <f t="shared" si="38"/>
        <v>114.47999999999999</v>
      </c>
      <c r="H128" s="298" t="s">
        <v>214</v>
      </c>
      <c r="I128" s="116">
        <v>2019</v>
      </c>
      <c r="J128" s="116">
        <v>124</v>
      </c>
      <c r="K128" s="469">
        <f t="shared" si="39"/>
        <v>255.56053865859434</v>
      </c>
      <c r="L128" s="116"/>
      <c r="M128" s="440">
        <f t="shared" si="40"/>
        <v>252.672</v>
      </c>
      <c r="O128" s="881"/>
      <c r="P128" s="444">
        <v>124</v>
      </c>
      <c r="Q128" s="444">
        <f t="shared" si="22"/>
        <v>151.04140523779253</v>
      </c>
      <c r="R128" s="116">
        <f t="shared" si="43"/>
        <v>1.072928844E-5</v>
      </c>
      <c r="S128" s="458">
        <f t="shared" si="41"/>
        <v>128.11901873415022</v>
      </c>
      <c r="T128" s="450">
        <f t="shared" si="42"/>
        <v>305.64684428199968</v>
      </c>
    </row>
    <row r="129" spans="1:20" x14ac:dyDescent="0.25">
      <c r="A129" s="298" t="s">
        <v>215</v>
      </c>
      <c r="B129" s="116">
        <v>2019</v>
      </c>
      <c r="C129" s="116">
        <v>125</v>
      </c>
      <c r="D129" s="458">
        <f t="shared" si="37"/>
        <v>113.61137306651359</v>
      </c>
      <c r="E129" s="116"/>
      <c r="F129" s="468">
        <f t="shared" si="38"/>
        <v>114.58499999999999</v>
      </c>
      <c r="H129" s="298" t="s">
        <v>215</v>
      </c>
      <c r="I129" s="116">
        <v>2019</v>
      </c>
      <c r="J129" s="116">
        <v>125</v>
      </c>
      <c r="K129" s="469">
        <f t="shared" si="39"/>
        <v>255.9585694067143</v>
      </c>
      <c r="L129" s="116"/>
      <c r="M129" s="440">
        <f t="shared" si="40"/>
        <v>252.98249999999999</v>
      </c>
      <c r="O129" s="881"/>
      <c r="P129" s="444">
        <v>125</v>
      </c>
      <c r="Q129" s="444">
        <f t="shared" si="22"/>
        <v>151.04140523779253</v>
      </c>
      <c r="R129" s="116">
        <f t="shared" si="43"/>
        <v>1.072928844E-5</v>
      </c>
      <c r="S129" s="458">
        <f t="shared" si="41"/>
        <v>128.11901873415022</v>
      </c>
      <c r="T129" s="450">
        <f t="shared" si="42"/>
        <v>305.64684428199968</v>
      </c>
    </row>
    <row r="130" spans="1:20" x14ac:dyDescent="0.25">
      <c r="A130" s="298" t="s">
        <v>216</v>
      </c>
      <c r="B130" s="116">
        <v>2019</v>
      </c>
      <c r="C130" s="116">
        <v>126</v>
      </c>
      <c r="D130" s="458">
        <f t="shared" si="37"/>
        <v>113.73120258442761</v>
      </c>
      <c r="E130" s="116"/>
      <c r="F130" s="468">
        <f t="shared" si="38"/>
        <v>114.69</v>
      </c>
      <c r="H130" s="298" t="s">
        <v>216</v>
      </c>
      <c r="I130" s="116">
        <v>2019</v>
      </c>
      <c r="J130" s="116">
        <v>126</v>
      </c>
      <c r="K130" s="469">
        <f t="shared" si="39"/>
        <v>256.35722008026283</v>
      </c>
      <c r="L130" s="116"/>
      <c r="M130" s="440">
        <f t="shared" si="40"/>
        <v>253.29299999999998</v>
      </c>
      <c r="O130" s="881"/>
      <c r="P130" s="444">
        <v>126</v>
      </c>
      <c r="Q130" s="444">
        <f t="shared" si="22"/>
        <v>151.04140523779253</v>
      </c>
      <c r="R130" s="116">
        <f t="shared" si="43"/>
        <v>1.072928844E-5</v>
      </c>
      <c r="S130" s="458">
        <f t="shared" si="41"/>
        <v>128.11901873415022</v>
      </c>
      <c r="T130" s="450">
        <f t="shared" si="42"/>
        <v>305.64684428199968</v>
      </c>
    </row>
    <row r="131" spans="1:20" x14ac:dyDescent="0.25">
      <c r="A131" s="298" t="s">
        <v>217</v>
      </c>
      <c r="B131" s="116">
        <v>2019</v>
      </c>
      <c r="C131" s="116">
        <v>127</v>
      </c>
      <c r="D131" s="458">
        <f t="shared" si="37"/>
        <v>113.85115849033409</v>
      </c>
      <c r="E131" s="116"/>
      <c r="F131" s="468">
        <f t="shared" si="38"/>
        <v>114.79499999999999</v>
      </c>
      <c r="H131" s="298" t="s">
        <v>217</v>
      </c>
      <c r="I131" s="116">
        <v>2019</v>
      </c>
      <c r="J131" s="116">
        <v>127</v>
      </c>
      <c r="K131" s="469">
        <f t="shared" si="39"/>
        <v>256.75649164476215</v>
      </c>
      <c r="L131" s="116"/>
      <c r="M131" s="440">
        <f t="shared" si="40"/>
        <v>253.6035</v>
      </c>
      <c r="O131" s="881"/>
      <c r="P131" s="444">
        <v>127</v>
      </c>
      <c r="Q131" s="444">
        <f t="shared" si="22"/>
        <v>151.04140523779253</v>
      </c>
      <c r="R131" s="116">
        <f t="shared" si="43"/>
        <v>1.072928844E-5</v>
      </c>
      <c r="S131" s="458">
        <f t="shared" si="41"/>
        <v>128.11901873415022</v>
      </c>
      <c r="T131" s="450">
        <f t="shared" si="42"/>
        <v>305.64684428199968</v>
      </c>
    </row>
    <row r="132" spans="1:20" x14ac:dyDescent="0.25">
      <c r="A132" s="298" t="s">
        <v>218</v>
      </c>
      <c r="B132" s="116">
        <v>2019</v>
      </c>
      <c r="C132" s="116">
        <v>128</v>
      </c>
      <c r="D132" s="458">
        <f t="shared" si="37"/>
        <v>113.97124091753845</v>
      </c>
      <c r="E132" s="116"/>
      <c r="F132" s="468">
        <f t="shared" si="38"/>
        <v>114.89999999999999</v>
      </c>
      <c r="H132" s="298" t="s">
        <v>218</v>
      </c>
      <c r="I132" s="116">
        <v>2019</v>
      </c>
      <c r="J132" s="116">
        <v>128</v>
      </c>
      <c r="K132" s="469">
        <f t="shared" si="39"/>
        <v>257.15638506723826</v>
      </c>
      <c r="L132" s="116"/>
      <c r="M132" s="440">
        <f t="shared" si="40"/>
        <v>253.91399999999999</v>
      </c>
      <c r="O132" s="881"/>
      <c r="P132" s="444">
        <v>128</v>
      </c>
      <c r="Q132" s="444">
        <f t="shared" si="22"/>
        <v>151.04140523779253</v>
      </c>
      <c r="R132" s="116">
        <f t="shared" si="43"/>
        <v>1.072928844E-5</v>
      </c>
      <c r="S132" s="458">
        <f t="shared" si="41"/>
        <v>128.11901873415022</v>
      </c>
      <c r="T132" s="450">
        <f t="shared" si="42"/>
        <v>305.64684428199968</v>
      </c>
    </row>
    <row r="133" spans="1:20" x14ac:dyDescent="0.25">
      <c r="A133" s="298" t="s">
        <v>219</v>
      </c>
      <c r="B133" s="116">
        <v>2019</v>
      </c>
      <c r="C133" s="116">
        <v>129</v>
      </c>
      <c r="D133" s="458">
        <f t="shared" si="37"/>
        <v>114.09144999948674</v>
      </c>
      <c r="E133" s="116"/>
      <c r="F133" s="468">
        <f t="shared" si="38"/>
        <v>115.005</v>
      </c>
      <c r="H133" s="298" t="s">
        <v>219</v>
      </c>
      <c r="I133" s="116">
        <v>2019</v>
      </c>
      <c r="J133" s="116">
        <v>129</v>
      </c>
      <c r="K133" s="469">
        <f t="shared" si="39"/>
        <v>257.55690131622333</v>
      </c>
      <c r="L133" s="116"/>
      <c r="M133" s="440">
        <f t="shared" si="40"/>
        <v>254.22449999999998</v>
      </c>
      <c r="O133" s="881"/>
      <c r="P133" s="444">
        <v>129</v>
      </c>
      <c r="Q133" s="444">
        <f t="shared" si="22"/>
        <v>151.04140523779253</v>
      </c>
      <c r="R133" s="116">
        <f t="shared" si="43"/>
        <v>1.072928844E-5</v>
      </c>
      <c r="S133" s="458">
        <f t="shared" si="41"/>
        <v>128.11901873415022</v>
      </c>
      <c r="T133" s="450">
        <f t="shared" si="42"/>
        <v>305.64684428199968</v>
      </c>
    </row>
    <row r="134" spans="1:20" x14ac:dyDescent="0.25">
      <c r="A134" s="298" t="s">
        <v>220</v>
      </c>
      <c r="B134" s="116">
        <v>2019</v>
      </c>
      <c r="C134" s="116">
        <v>130</v>
      </c>
      <c r="D134" s="458">
        <f t="shared" si="37"/>
        <v>114.21178586976572</v>
      </c>
      <c r="E134" s="116"/>
      <c r="F134" s="468">
        <f t="shared" si="38"/>
        <v>115.11</v>
      </c>
      <c r="H134" s="298" t="s">
        <v>220</v>
      </c>
      <c r="I134" s="116">
        <v>2019</v>
      </c>
      <c r="J134" s="116">
        <v>130</v>
      </c>
      <c r="K134" s="469">
        <f t="shared" si="39"/>
        <v>257.95804136175792</v>
      </c>
      <c r="L134" s="116"/>
      <c r="M134" s="440">
        <f t="shared" si="40"/>
        <v>254.535</v>
      </c>
      <c r="O134" s="881"/>
      <c r="P134" s="444">
        <v>130</v>
      </c>
      <c r="Q134" s="444">
        <f t="shared" ref="Q134:Q197" si="44">$Q$2*R134*1000+$S$2*S134/$P$1+$U$1*T134/$R$1</f>
        <v>151.04140523779253</v>
      </c>
      <c r="R134" s="116">
        <f t="shared" si="43"/>
        <v>1.072928844E-5</v>
      </c>
      <c r="S134" s="458">
        <f t="shared" si="41"/>
        <v>128.11901873415022</v>
      </c>
      <c r="T134" s="450">
        <f t="shared" si="42"/>
        <v>305.64684428199968</v>
      </c>
    </row>
    <row r="135" spans="1:20" x14ac:dyDescent="0.25">
      <c r="A135" s="298" t="s">
        <v>221</v>
      </c>
      <c r="B135" s="116">
        <v>2019</v>
      </c>
      <c r="C135" s="116">
        <v>131</v>
      </c>
      <c r="D135" s="458">
        <f t="shared" si="37"/>
        <v>114.33224866210307</v>
      </c>
      <c r="E135" s="116"/>
      <c r="F135" s="468">
        <f t="shared" si="38"/>
        <v>115.21499999999999</v>
      </c>
      <c r="H135" s="298" t="s">
        <v>221</v>
      </c>
      <c r="I135" s="116">
        <v>2019</v>
      </c>
      <c r="J135" s="116">
        <v>131</v>
      </c>
      <c r="K135" s="469">
        <f t="shared" si="39"/>
        <v>258.35980617539354</v>
      </c>
      <c r="L135" s="116"/>
      <c r="M135" s="440">
        <f t="shared" si="40"/>
        <v>254.84549999999999</v>
      </c>
      <c r="O135" s="881"/>
      <c r="P135" s="444">
        <v>131</v>
      </c>
      <c r="Q135" s="444">
        <f t="shared" si="44"/>
        <v>151.04140523779253</v>
      </c>
      <c r="R135" s="116">
        <f t="shared" si="43"/>
        <v>1.072928844E-5</v>
      </c>
      <c r="S135" s="458">
        <f t="shared" si="41"/>
        <v>128.11901873415022</v>
      </c>
      <c r="T135" s="450">
        <f t="shared" si="42"/>
        <v>305.64684428199968</v>
      </c>
    </row>
    <row r="136" spans="1:20" x14ac:dyDescent="0.25">
      <c r="A136" s="298" t="s">
        <v>222</v>
      </c>
      <c r="B136" s="116">
        <v>2019</v>
      </c>
      <c r="C136" s="116">
        <v>132</v>
      </c>
      <c r="D136" s="458">
        <f t="shared" si="37"/>
        <v>114.4528385103675</v>
      </c>
      <c r="E136" s="116"/>
      <c r="F136" s="468">
        <f t="shared" si="38"/>
        <v>115.32</v>
      </c>
      <c r="H136" s="298" t="s">
        <v>222</v>
      </c>
      <c r="I136" s="116">
        <v>2019</v>
      </c>
      <c r="J136" s="116">
        <v>132</v>
      </c>
      <c r="K136" s="469">
        <f t="shared" si="39"/>
        <v>258.76219673019472</v>
      </c>
      <c r="L136" s="116"/>
      <c r="M136" s="440">
        <f t="shared" si="40"/>
        <v>255.15599999999998</v>
      </c>
      <c r="O136" s="881"/>
      <c r="P136" s="444">
        <v>132</v>
      </c>
      <c r="Q136" s="444">
        <f t="shared" si="44"/>
        <v>151.04140523779253</v>
      </c>
      <c r="R136" s="116">
        <f t="shared" si="43"/>
        <v>1.072928844E-5</v>
      </c>
      <c r="S136" s="458">
        <f t="shared" si="41"/>
        <v>128.11901873415022</v>
      </c>
      <c r="T136" s="450">
        <f t="shared" si="42"/>
        <v>305.64684428199968</v>
      </c>
    </row>
    <row r="137" spans="1:20" x14ac:dyDescent="0.25">
      <c r="A137" s="298" t="s">
        <v>211</v>
      </c>
      <c r="B137" s="116">
        <v>2020</v>
      </c>
      <c r="C137" s="116">
        <v>133</v>
      </c>
      <c r="D137" s="458">
        <f t="shared" si="37"/>
        <v>114.57355554856893</v>
      </c>
      <c r="E137" s="116"/>
      <c r="F137" s="468">
        <f t="shared" si="38"/>
        <v>115.425</v>
      </c>
      <c r="H137" s="298" t="s">
        <v>211</v>
      </c>
      <c r="I137" s="116">
        <v>2020</v>
      </c>
      <c r="J137" s="116">
        <v>133</v>
      </c>
      <c r="K137" s="469">
        <f t="shared" si="39"/>
        <v>259.16521400074163</v>
      </c>
      <c r="L137" s="116"/>
      <c r="M137" s="440">
        <f t="shared" si="40"/>
        <v>255.4665</v>
      </c>
      <c r="O137" s="881">
        <v>12</v>
      </c>
      <c r="P137" s="444">
        <v>133</v>
      </c>
      <c r="Q137" s="444">
        <f t="shared" si="44"/>
        <v>154.59507629434313</v>
      </c>
      <c r="R137" s="116">
        <f>'Análisis Econ CCGT Nuevo'!G37</f>
        <v>1.1023111710000001E-5</v>
      </c>
      <c r="S137" s="458">
        <f>$D$255</f>
        <v>129.75003297925468</v>
      </c>
      <c r="T137" s="450">
        <f>$K$255</f>
        <v>311.4085038456987</v>
      </c>
    </row>
    <row r="138" spans="1:20" x14ac:dyDescent="0.25">
      <c r="A138" s="298" t="s">
        <v>212</v>
      </c>
      <c r="B138" s="116">
        <v>2020</v>
      </c>
      <c r="C138" s="116">
        <v>134</v>
      </c>
      <c r="D138" s="458">
        <f t="shared" si="37"/>
        <v>114.69439991085862</v>
      </c>
      <c r="E138" s="116"/>
      <c r="F138" s="468">
        <f t="shared" si="38"/>
        <v>115.53</v>
      </c>
      <c r="H138" s="298" t="s">
        <v>212</v>
      </c>
      <c r="I138" s="116">
        <v>2020</v>
      </c>
      <c r="J138" s="116">
        <v>134</v>
      </c>
      <c r="K138" s="469">
        <f t="shared" si="39"/>
        <v>259.5688589631323</v>
      </c>
      <c r="L138" s="116"/>
      <c r="M138" s="440">
        <f t="shared" si="40"/>
        <v>255.77699999999999</v>
      </c>
      <c r="O138" s="881"/>
      <c r="P138" s="444">
        <v>134</v>
      </c>
      <c r="Q138" s="444">
        <f t="shared" si="44"/>
        <v>154.59507629434313</v>
      </c>
      <c r="R138" s="116">
        <f>R137</f>
        <v>1.1023111710000001E-5</v>
      </c>
      <c r="S138" s="458">
        <f t="shared" ref="S138:S148" si="45">$D$255</f>
        <v>129.75003297925468</v>
      </c>
      <c r="T138" s="450">
        <f t="shared" ref="T138:T148" si="46">$K$255</f>
        <v>311.4085038456987</v>
      </c>
    </row>
    <row r="139" spans="1:20" x14ac:dyDescent="0.25">
      <c r="A139" s="298" t="s">
        <v>213</v>
      </c>
      <c r="B139" s="116">
        <v>2020</v>
      </c>
      <c r="C139" s="116">
        <v>135</v>
      </c>
      <c r="D139" s="458">
        <f t="shared" si="37"/>
        <v>114.81537173152932</v>
      </c>
      <c r="E139" s="116"/>
      <c r="F139" s="468">
        <f t="shared" si="38"/>
        <v>115.63499999999999</v>
      </c>
      <c r="H139" s="298" t="s">
        <v>213</v>
      </c>
      <c r="I139" s="116">
        <v>2020</v>
      </c>
      <c r="J139" s="116">
        <v>135</v>
      </c>
      <c r="K139" s="469">
        <f t="shared" si="39"/>
        <v>259.97313259498497</v>
      </c>
      <c r="L139" s="116"/>
      <c r="M139" s="440">
        <f t="shared" si="40"/>
        <v>256.08749999999998</v>
      </c>
      <c r="O139" s="881"/>
      <c r="P139" s="444">
        <v>135</v>
      </c>
      <c r="Q139" s="444">
        <f t="shared" si="44"/>
        <v>154.59507629434313</v>
      </c>
      <c r="R139" s="116">
        <f t="shared" ref="R139:R148" si="47">R138</f>
        <v>1.1023111710000001E-5</v>
      </c>
      <c r="S139" s="458">
        <f t="shared" si="45"/>
        <v>129.75003297925468</v>
      </c>
      <c r="T139" s="450">
        <f t="shared" si="46"/>
        <v>311.4085038456987</v>
      </c>
    </row>
    <row r="140" spans="1:20" x14ac:dyDescent="0.25">
      <c r="A140" s="298" t="s">
        <v>214</v>
      </c>
      <c r="B140" s="116">
        <v>2020</v>
      </c>
      <c r="C140" s="116">
        <v>136</v>
      </c>
      <c r="D140" s="458">
        <f t="shared" si="37"/>
        <v>114.93647114501545</v>
      </c>
      <c r="E140" s="116"/>
      <c r="F140" s="468">
        <f t="shared" si="38"/>
        <v>115.74</v>
      </c>
      <c r="H140" s="298" t="s">
        <v>214</v>
      </c>
      <c r="I140" s="116">
        <v>2020</v>
      </c>
      <c r="J140" s="116">
        <v>136</v>
      </c>
      <c r="K140" s="469">
        <f t="shared" si="39"/>
        <v>260.37803587544062</v>
      </c>
      <c r="L140" s="116"/>
      <c r="M140" s="440">
        <f t="shared" si="40"/>
        <v>256.39799999999997</v>
      </c>
      <c r="O140" s="881"/>
      <c r="P140" s="444">
        <v>136</v>
      </c>
      <c r="Q140" s="444">
        <f t="shared" si="44"/>
        <v>154.59507629434313</v>
      </c>
      <c r="R140" s="116">
        <f t="shared" si="47"/>
        <v>1.1023111710000001E-5</v>
      </c>
      <c r="S140" s="458">
        <f t="shared" si="45"/>
        <v>129.75003297925468</v>
      </c>
      <c r="T140" s="450">
        <f t="shared" si="46"/>
        <v>311.4085038456987</v>
      </c>
    </row>
    <row r="141" spans="1:20" x14ac:dyDescent="0.25">
      <c r="A141" s="298" t="s">
        <v>215</v>
      </c>
      <c r="B141" s="116">
        <v>2020</v>
      </c>
      <c r="C141" s="116">
        <v>137</v>
      </c>
      <c r="D141" s="458">
        <f t="shared" si="37"/>
        <v>115.05769828589317</v>
      </c>
      <c r="E141" s="116"/>
      <c r="F141" s="468">
        <f t="shared" si="38"/>
        <v>115.845</v>
      </c>
      <c r="H141" s="298" t="s">
        <v>215</v>
      </c>
      <c r="I141" s="116">
        <v>2020</v>
      </c>
      <c r="J141" s="116">
        <v>137</v>
      </c>
      <c r="K141" s="469">
        <f t="shared" si="39"/>
        <v>260.78356978516507</v>
      </c>
      <c r="L141" s="116"/>
      <c r="M141" s="440">
        <f t="shared" si="40"/>
        <v>256.70849999999996</v>
      </c>
      <c r="O141" s="881"/>
      <c r="P141" s="444">
        <v>137</v>
      </c>
      <c r="Q141" s="444">
        <f t="shared" si="44"/>
        <v>154.59507629434313</v>
      </c>
      <c r="R141" s="116">
        <f t="shared" si="47"/>
        <v>1.1023111710000001E-5</v>
      </c>
      <c r="S141" s="458">
        <f t="shared" si="45"/>
        <v>129.75003297925468</v>
      </c>
      <c r="T141" s="450">
        <f t="shared" si="46"/>
        <v>311.4085038456987</v>
      </c>
    </row>
    <row r="142" spans="1:20" x14ac:dyDescent="0.25">
      <c r="A142" s="298" t="s">
        <v>216</v>
      </c>
      <c r="B142" s="116">
        <v>2020</v>
      </c>
      <c r="C142" s="116">
        <v>138</v>
      </c>
      <c r="D142" s="458">
        <f t="shared" si="37"/>
        <v>115.17905328888061</v>
      </c>
      <c r="E142" s="116"/>
      <c r="F142" s="468">
        <f t="shared" si="38"/>
        <v>115.94999999999999</v>
      </c>
      <c r="H142" s="298" t="s">
        <v>216</v>
      </c>
      <c r="I142" s="116">
        <v>2020</v>
      </c>
      <c r="J142" s="116">
        <v>138</v>
      </c>
      <c r="K142" s="469">
        <f t="shared" si="39"/>
        <v>261.18973530635162</v>
      </c>
      <c r="L142" s="116"/>
      <c r="M142" s="440">
        <f t="shared" si="40"/>
        <v>257.01900000000001</v>
      </c>
      <c r="O142" s="881"/>
      <c r="P142" s="444">
        <v>138</v>
      </c>
      <c r="Q142" s="444">
        <f t="shared" si="44"/>
        <v>154.59507629434313</v>
      </c>
      <c r="R142" s="116">
        <f t="shared" si="47"/>
        <v>1.1023111710000001E-5</v>
      </c>
      <c r="S142" s="458">
        <f t="shared" si="45"/>
        <v>129.75003297925468</v>
      </c>
      <c r="T142" s="450">
        <f t="shared" si="46"/>
        <v>311.4085038456987</v>
      </c>
    </row>
    <row r="143" spans="1:20" x14ac:dyDescent="0.25">
      <c r="A143" s="298" t="s">
        <v>217</v>
      </c>
      <c r="B143" s="116">
        <v>2020</v>
      </c>
      <c r="C143" s="116">
        <v>139</v>
      </c>
      <c r="D143" s="458">
        <f t="shared" si="37"/>
        <v>115.300536288838</v>
      </c>
      <c r="E143" s="116"/>
      <c r="F143" s="468">
        <f t="shared" si="38"/>
        <v>116.05499999999999</v>
      </c>
      <c r="H143" s="298" t="s">
        <v>217</v>
      </c>
      <c r="I143" s="116">
        <v>2020</v>
      </c>
      <c r="J143" s="116">
        <v>139</v>
      </c>
      <c r="K143" s="469">
        <f t="shared" si="39"/>
        <v>261.59653342272327</v>
      </c>
      <c r="L143" s="116"/>
      <c r="M143" s="440">
        <f t="shared" si="40"/>
        <v>257.3295</v>
      </c>
      <c r="O143" s="881"/>
      <c r="P143" s="444">
        <v>139</v>
      </c>
      <c r="Q143" s="444">
        <f t="shared" si="44"/>
        <v>154.59507629434313</v>
      </c>
      <c r="R143" s="116">
        <f t="shared" si="47"/>
        <v>1.1023111710000001E-5</v>
      </c>
      <c r="S143" s="458">
        <f t="shared" si="45"/>
        <v>129.75003297925468</v>
      </c>
      <c r="T143" s="450">
        <f t="shared" si="46"/>
        <v>311.4085038456987</v>
      </c>
    </row>
    <row r="144" spans="1:20" x14ac:dyDescent="0.25">
      <c r="A144" s="298" t="s">
        <v>218</v>
      </c>
      <c r="B144" s="116">
        <v>2020</v>
      </c>
      <c r="C144" s="116">
        <v>140</v>
      </c>
      <c r="D144" s="458">
        <f t="shared" si="37"/>
        <v>115.42214742076781</v>
      </c>
      <c r="E144" s="116"/>
      <c r="F144" s="468">
        <f t="shared" si="38"/>
        <v>116.16</v>
      </c>
      <c r="H144" s="298" t="s">
        <v>218</v>
      </c>
      <c r="I144" s="116">
        <v>2020</v>
      </c>
      <c r="J144" s="116">
        <v>140</v>
      </c>
      <c r="K144" s="469">
        <f t="shared" si="39"/>
        <v>262.00396511953517</v>
      </c>
      <c r="L144" s="116"/>
      <c r="M144" s="440">
        <f t="shared" si="40"/>
        <v>257.64</v>
      </c>
      <c r="O144" s="881"/>
      <c r="P144" s="444">
        <v>140</v>
      </c>
      <c r="Q144" s="444">
        <f t="shared" si="44"/>
        <v>154.59507629434313</v>
      </c>
      <c r="R144" s="116">
        <f t="shared" si="47"/>
        <v>1.1023111710000001E-5</v>
      </c>
      <c r="S144" s="458">
        <f t="shared" si="45"/>
        <v>129.75003297925468</v>
      </c>
      <c r="T144" s="450">
        <f t="shared" si="46"/>
        <v>311.4085038456987</v>
      </c>
    </row>
    <row r="145" spans="1:20" x14ac:dyDescent="0.25">
      <c r="A145" s="298" t="s">
        <v>219</v>
      </c>
      <c r="B145" s="116">
        <v>2020</v>
      </c>
      <c r="C145" s="116">
        <v>141</v>
      </c>
      <c r="D145" s="458">
        <f t="shared" si="37"/>
        <v>115.54388681981489</v>
      </c>
      <c r="E145" s="116"/>
      <c r="F145" s="468">
        <f t="shared" si="38"/>
        <v>116.26499999999999</v>
      </c>
      <c r="H145" s="298" t="s">
        <v>219</v>
      </c>
      <c r="I145" s="116">
        <v>2020</v>
      </c>
      <c r="J145" s="116">
        <v>141</v>
      </c>
      <c r="K145" s="469">
        <f t="shared" si="39"/>
        <v>262.41203138357696</v>
      </c>
      <c r="L145" s="116"/>
      <c r="M145" s="440">
        <f t="shared" si="40"/>
        <v>257.95049999999998</v>
      </c>
      <c r="O145" s="881"/>
      <c r="P145" s="444">
        <v>141</v>
      </c>
      <c r="Q145" s="444">
        <f t="shared" si="44"/>
        <v>154.59507629434313</v>
      </c>
      <c r="R145" s="116">
        <f t="shared" si="47"/>
        <v>1.1023111710000001E-5</v>
      </c>
      <c r="S145" s="458">
        <f t="shared" si="45"/>
        <v>129.75003297925468</v>
      </c>
      <c r="T145" s="450">
        <f t="shared" si="46"/>
        <v>311.4085038456987</v>
      </c>
    </row>
    <row r="146" spans="1:20" x14ac:dyDescent="0.25">
      <c r="A146" s="298" t="s">
        <v>220</v>
      </c>
      <c r="B146" s="116">
        <v>2020</v>
      </c>
      <c r="C146" s="116">
        <v>142</v>
      </c>
      <c r="D146" s="458">
        <f t="shared" si="37"/>
        <v>115.66575462126663</v>
      </c>
      <c r="E146" s="116"/>
      <c r="F146" s="468">
        <f t="shared" si="38"/>
        <v>116.36999999999999</v>
      </c>
      <c r="H146" s="298" t="s">
        <v>220</v>
      </c>
      <c r="I146" s="116">
        <v>2020</v>
      </c>
      <c r="J146" s="116">
        <v>142</v>
      </c>
      <c r="K146" s="469">
        <f t="shared" si="39"/>
        <v>262.82073320317522</v>
      </c>
      <c r="L146" s="116"/>
      <c r="M146" s="440">
        <f t="shared" si="40"/>
        <v>258.26099999999997</v>
      </c>
      <c r="O146" s="881"/>
      <c r="P146" s="444">
        <v>142</v>
      </c>
      <c r="Q146" s="444">
        <f t="shared" si="44"/>
        <v>154.59507629434313</v>
      </c>
      <c r="R146" s="116">
        <f t="shared" si="47"/>
        <v>1.1023111710000001E-5</v>
      </c>
      <c r="S146" s="458">
        <f t="shared" si="45"/>
        <v>129.75003297925468</v>
      </c>
      <c r="T146" s="450">
        <f t="shared" si="46"/>
        <v>311.4085038456987</v>
      </c>
    </row>
    <row r="147" spans="1:20" x14ac:dyDescent="0.25">
      <c r="A147" s="298" t="s">
        <v>221</v>
      </c>
      <c r="B147" s="116">
        <v>2020</v>
      </c>
      <c r="C147" s="116">
        <v>143</v>
      </c>
      <c r="D147" s="458">
        <f t="shared" si="37"/>
        <v>115.78775096055313</v>
      </c>
      <c r="E147" s="116"/>
      <c r="F147" s="468">
        <f t="shared" si="38"/>
        <v>116.47499999999999</v>
      </c>
      <c r="H147" s="298" t="s">
        <v>221</v>
      </c>
      <c r="I147" s="116">
        <v>2020</v>
      </c>
      <c r="J147" s="116">
        <v>143</v>
      </c>
      <c r="K147" s="469">
        <f t="shared" si="39"/>
        <v>263.23007156819585</v>
      </c>
      <c r="L147" s="116"/>
      <c r="M147" s="440">
        <f t="shared" si="40"/>
        <v>258.57150000000001</v>
      </c>
      <c r="O147" s="881"/>
      <c r="P147" s="444">
        <v>143</v>
      </c>
      <c r="Q147" s="444">
        <f t="shared" si="44"/>
        <v>154.59507629434313</v>
      </c>
      <c r="R147" s="116">
        <f t="shared" si="47"/>
        <v>1.1023111710000001E-5</v>
      </c>
      <c r="S147" s="458">
        <f t="shared" si="45"/>
        <v>129.75003297925468</v>
      </c>
      <c r="T147" s="450">
        <f t="shared" si="46"/>
        <v>311.4085038456987</v>
      </c>
    </row>
    <row r="148" spans="1:20" x14ac:dyDescent="0.25">
      <c r="A148" s="298" t="s">
        <v>222</v>
      </c>
      <c r="B148" s="116">
        <v>2020</v>
      </c>
      <c r="C148" s="116">
        <v>144</v>
      </c>
      <c r="D148" s="458">
        <f t="shared" si="37"/>
        <v>115.9098759732473</v>
      </c>
      <c r="E148" s="116"/>
      <c r="F148" s="468">
        <f t="shared" si="38"/>
        <v>116.58</v>
      </c>
      <c r="H148" s="298" t="s">
        <v>222</v>
      </c>
      <c r="I148" s="116">
        <v>2020</v>
      </c>
      <c r="J148" s="116">
        <v>144</v>
      </c>
      <c r="K148" s="469">
        <f t="shared" si="39"/>
        <v>263.6400474700464</v>
      </c>
      <c r="L148" s="116"/>
      <c r="M148" s="440">
        <f t="shared" si="40"/>
        <v>258.88200000000001</v>
      </c>
      <c r="O148" s="881"/>
      <c r="P148" s="444">
        <v>144</v>
      </c>
      <c r="Q148" s="444">
        <f t="shared" si="44"/>
        <v>154.59507629434313</v>
      </c>
      <c r="R148" s="116">
        <f t="shared" si="47"/>
        <v>1.1023111710000001E-5</v>
      </c>
      <c r="S148" s="458">
        <f t="shared" si="45"/>
        <v>129.75003297925468</v>
      </c>
      <c r="T148" s="450">
        <f t="shared" si="46"/>
        <v>311.4085038456987</v>
      </c>
    </row>
    <row r="149" spans="1:20" x14ac:dyDescent="0.25">
      <c r="A149" s="298" t="s">
        <v>211</v>
      </c>
      <c r="B149" s="116">
        <v>2021</v>
      </c>
      <c r="C149" s="116">
        <v>145</v>
      </c>
      <c r="D149" s="458">
        <f t="shared" si="37"/>
        <v>116.03212979506507</v>
      </c>
      <c r="E149" s="116"/>
      <c r="F149" s="468">
        <f t="shared" si="38"/>
        <v>116.68499999999999</v>
      </c>
      <c r="H149" s="298" t="s">
        <v>211</v>
      </c>
      <c r="I149" s="116">
        <v>2021</v>
      </c>
      <c r="J149" s="116">
        <v>145</v>
      </c>
      <c r="K149" s="469">
        <f t="shared" si="39"/>
        <v>264.0506619016785</v>
      </c>
      <c r="L149" s="116"/>
      <c r="M149" s="440">
        <f t="shared" si="40"/>
        <v>259.1925</v>
      </c>
      <c r="O149" s="881">
        <v>13</v>
      </c>
      <c r="P149" s="444">
        <v>145</v>
      </c>
      <c r="Q149" s="444">
        <f t="shared" si="44"/>
        <v>157.9412283645641</v>
      </c>
      <c r="R149" s="116">
        <f>'Análisis Econ CCGT Nuevo'!G38</f>
        <v>1.1288500470000001E-5</v>
      </c>
      <c r="S149" s="458">
        <f>$D$267</f>
        <v>131.40181078853578</v>
      </c>
      <c r="T149" s="450">
        <f>$K$267</f>
        <v>317.27877477427529</v>
      </c>
    </row>
    <row r="150" spans="1:20" x14ac:dyDescent="0.25">
      <c r="A150" s="298" t="s">
        <v>212</v>
      </c>
      <c r="B150" s="116">
        <v>2021</v>
      </c>
      <c r="C150" s="116">
        <v>146</v>
      </c>
      <c r="D150" s="458">
        <f t="shared" si="37"/>
        <v>116.15451256186553</v>
      </c>
      <c r="E150" s="116"/>
      <c r="F150" s="468">
        <f t="shared" si="38"/>
        <v>116.78999999999999</v>
      </c>
      <c r="H150" s="298" t="s">
        <v>212</v>
      </c>
      <c r="I150" s="116">
        <v>2021</v>
      </c>
      <c r="J150" s="116">
        <v>146</v>
      </c>
      <c r="K150" s="469">
        <f t="shared" si="39"/>
        <v>264.46191585759033</v>
      </c>
      <c r="L150" s="116"/>
      <c r="M150" s="440">
        <f t="shared" si="40"/>
        <v>259.50299999999999</v>
      </c>
      <c r="O150" s="881"/>
      <c r="P150" s="444">
        <v>146</v>
      </c>
      <c r="Q150" s="444">
        <f t="shared" si="44"/>
        <v>157.9412283645641</v>
      </c>
      <c r="R150" s="116">
        <f>R149</f>
        <v>1.1288500470000001E-5</v>
      </c>
      <c r="S150" s="458">
        <f t="shared" ref="S150:S160" si="48">$D$267</f>
        <v>131.40181078853578</v>
      </c>
      <c r="T150" s="450">
        <f t="shared" ref="T150:T160" si="49">$K$267</f>
        <v>317.27877477427529</v>
      </c>
    </row>
    <row r="151" spans="1:20" x14ac:dyDescent="0.25">
      <c r="A151" s="298" t="s">
        <v>213</v>
      </c>
      <c r="B151" s="116">
        <v>2021</v>
      </c>
      <c r="C151" s="116">
        <v>147</v>
      </c>
      <c r="D151" s="458">
        <f t="shared" si="37"/>
        <v>116.27702440965102</v>
      </c>
      <c r="E151" s="116"/>
      <c r="F151" s="468">
        <f t="shared" si="38"/>
        <v>116.895</v>
      </c>
      <c r="H151" s="298" t="s">
        <v>213</v>
      </c>
      <c r="I151" s="116">
        <v>2021</v>
      </c>
      <c r="J151" s="116">
        <v>147</v>
      </c>
      <c r="K151" s="469">
        <f t="shared" si="39"/>
        <v>264.87381033382894</v>
      </c>
      <c r="L151" s="116"/>
      <c r="M151" s="440">
        <f t="shared" si="40"/>
        <v>259.81349999999998</v>
      </c>
      <c r="O151" s="881"/>
      <c r="P151" s="444">
        <v>147</v>
      </c>
      <c r="Q151" s="444">
        <f t="shared" si="44"/>
        <v>157.9412283645641</v>
      </c>
      <c r="R151" s="116">
        <f t="shared" ref="R151:R160" si="50">R150</f>
        <v>1.1288500470000001E-5</v>
      </c>
      <c r="S151" s="458">
        <f t="shared" si="48"/>
        <v>131.40181078853578</v>
      </c>
      <c r="T151" s="450">
        <f t="shared" si="49"/>
        <v>317.27877477427529</v>
      </c>
    </row>
    <row r="152" spans="1:20" x14ac:dyDescent="0.25">
      <c r="A152" s="298" t="s">
        <v>214</v>
      </c>
      <c r="B152" s="116">
        <v>2021</v>
      </c>
      <c r="C152" s="116">
        <v>148</v>
      </c>
      <c r="D152" s="458">
        <f t="shared" si="37"/>
        <v>116.39966547456736</v>
      </c>
      <c r="E152" s="116"/>
      <c r="F152" s="468">
        <f t="shared" si="38"/>
        <v>117</v>
      </c>
      <c r="H152" s="298" t="s">
        <v>214</v>
      </c>
      <c r="I152" s="116">
        <v>2021</v>
      </c>
      <c r="J152" s="116">
        <v>148</v>
      </c>
      <c r="K152" s="469">
        <f t="shared" si="39"/>
        <v>265.28634632799276</v>
      </c>
      <c r="L152" s="116"/>
      <c r="M152" s="440">
        <f t="shared" si="40"/>
        <v>260.12399999999997</v>
      </c>
      <c r="O152" s="881"/>
      <c r="P152" s="444">
        <v>148</v>
      </c>
      <c r="Q152" s="444">
        <f t="shared" si="44"/>
        <v>157.9412283645641</v>
      </c>
      <c r="R152" s="116">
        <f t="shared" si="50"/>
        <v>1.1288500470000001E-5</v>
      </c>
      <c r="S152" s="458">
        <f t="shared" si="48"/>
        <v>131.40181078853578</v>
      </c>
      <c r="T152" s="450">
        <f t="shared" si="49"/>
        <v>317.27877477427529</v>
      </c>
    </row>
    <row r="153" spans="1:20" x14ac:dyDescent="0.25">
      <c r="A153" s="298" t="s">
        <v>215</v>
      </c>
      <c r="B153" s="116">
        <v>2021</v>
      </c>
      <c r="C153" s="116">
        <v>149</v>
      </c>
      <c r="D153" s="458">
        <f t="shared" si="37"/>
        <v>116.52243589290394</v>
      </c>
      <c r="E153" s="116"/>
      <c r="F153" s="468">
        <f t="shared" si="38"/>
        <v>117.10499999999999</v>
      </c>
      <c r="H153" s="298" t="s">
        <v>215</v>
      </c>
      <c r="I153" s="116">
        <v>2021</v>
      </c>
      <c r="J153" s="116">
        <v>149</v>
      </c>
      <c r="K153" s="469">
        <f t="shared" si="39"/>
        <v>265.6995248392339</v>
      </c>
      <c r="L153" s="116"/>
      <c r="M153" s="440">
        <f t="shared" si="40"/>
        <v>260.43449999999996</v>
      </c>
      <c r="O153" s="881"/>
      <c r="P153" s="444">
        <v>149</v>
      </c>
      <c r="Q153" s="444">
        <f t="shared" si="44"/>
        <v>157.9412283645641</v>
      </c>
      <c r="R153" s="116">
        <f t="shared" si="50"/>
        <v>1.1288500470000001E-5</v>
      </c>
      <c r="S153" s="458">
        <f t="shared" si="48"/>
        <v>131.40181078853578</v>
      </c>
      <c r="T153" s="450">
        <f t="shared" si="49"/>
        <v>317.27877477427529</v>
      </c>
    </row>
    <row r="154" spans="1:20" x14ac:dyDescent="0.25">
      <c r="A154" s="298" t="s">
        <v>216</v>
      </c>
      <c r="B154" s="116">
        <v>2021</v>
      </c>
      <c r="C154" s="116">
        <v>150</v>
      </c>
      <c r="D154" s="458">
        <f t="shared" si="37"/>
        <v>116.64533580109394</v>
      </c>
      <c r="E154" s="116"/>
      <c r="F154" s="468">
        <f t="shared" si="38"/>
        <v>117.21</v>
      </c>
      <c r="H154" s="298" t="s">
        <v>216</v>
      </c>
      <c r="I154" s="116">
        <v>2021</v>
      </c>
      <c r="J154" s="116">
        <v>150</v>
      </c>
      <c r="K154" s="469">
        <f t="shared" si="39"/>
        <v>266.11334686826069</v>
      </c>
      <c r="L154" s="116"/>
      <c r="M154" s="440">
        <f t="shared" si="40"/>
        <v>260.745</v>
      </c>
      <c r="O154" s="881"/>
      <c r="P154" s="444">
        <v>150</v>
      </c>
      <c r="Q154" s="444">
        <f t="shared" si="44"/>
        <v>157.9412283645641</v>
      </c>
      <c r="R154" s="116">
        <f t="shared" si="50"/>
        <v>1.1288500470000001E-5</v>
      </c>
      <c r="S154" s="458">
        <f t="shared" si="48"/>
        <v>131.40181078853578</v>
      </c>
      <c r="T154" s="450">
        <f t="shared" si="49"/>
        <v>317.27877477427529</v>
      </c>
    </row>
    <row r="155" spans="1:20" x14ac:dyDescent="0.25">
      <c r="A155" s="298" t="s">
        <v>217</v>
      </c>
      <c r="B155" s="116">
        <v>2021</v>
      </c>
      <c r="C155" s="116">
        <v>151</v>
      </c>
      <c r="D155" s="458">
        <f t="shared" si="37"/>
        <v>116.76836533571438</v>
      </c>
      <c r="E155" s="116"/>
      <c r="F155" s="468">
        <f t="shared" si="38"/>
        <v>117.315</v>
      </c>
      <c r="H155" s="298" t="s">
        <v>217</v>
      </c>
      <c r="I155" s="116">
        <v>2021</v>
      </c>
      <c r="J155" s="116">
        <v>151</v>
      </c>
      <c r="K155" s="469">
        <f t="shared" si="39"/>
        <v>266.52781341734004</v>
      </c>
      <c r="L155" s="116"/>
      <c r="M155" s="440">
        <f t="shared" si="40"/>
        <v>261.05549999999999</v>
      </c>
      <c r="O155" s="881"/>
      <c r="P155" s="444">
        <v>151</v>
      </c>
      <c r="Q155" s="444">
        <f t="shared" si="44"/>
        <v>157.9412283645641</v>
      </c>
      <c r="R155" s="116">
        <f t="shared" si="50"/>
        <v>1.1288500470000001E-5</v>
      </c>
      <c r="S155" s="458">
        <f t="shared" si="48"/>
        <v>131.40181078853578</v>
      </c>
      <c r="T155" s="450">
        <f t="shared" si="49"/>
        <v>317.27877477427529</v>
      </c>
    </row>
    <row r="156" spans="1:20" x14ac:dyDescent="0.25">
      <c r="A156" s="298" t="s">
        <v>218</v>
      </c>
      <c r="B156" s="116">
        <v>2021</v>
      </c>
      <c r="C156" s="116">
        <v>152</v>
      </c>
      <c r="D156" s="458">
        <f t="shared" si="37"/>
        <v>116.89152463348638</v>
      </c>
      <c r="E156" s="116"/>
      <c r="F156" s="468">
        <f t="shared" si="38"/>
        <v>117.41999999999999</v>
      </c>
      <c r="H156" s="298" t="s">
        <v>218</v>
      </c>
      <c r="I156" s="116">
        <v>2021</v>
      </c>
      <c r="J156" s="116">
        <v>152</v>
      </c>
      <c r="K156" s="469">
        <f t="shared" si="39"/>
        <v>266.94292549029979</v>
      </c>
      <c r="L156" s="116"/>
      <c r="M156" s="440">
        <f t="shared" si="40"/>
        <v>261.36599999999999</v>
      </c>
      <c r="O156" s="881"/>
      <c r="P156" s="444">
        <v>152</v>
      </c>
      <c r="Q156" s="444">
        <f t="shared" si="44"/>
        <v>157.9412283645641</v>
      </c>
      <c r="R156" s="116">
        <f t="shared" si="50"/>
        <v>1.1288500470000001E-5</v>
      </c>
      <c r="S156" s="458">
        <f t="shared" si="48"/>
        <v>131.40181078853578</v>
      </c>
      <c r="T156" s="450">
        <f t="shared" si="49"/>
        <v>317.27877477427529</v>
      </c>
    </row>
    <row r="157" spans="1:20" x14ac:dyDescent="0.25">
      <c r="A157" s="298" t="s">
        <v>219</v>
      </c>
      <c r="B157" s="116">
        <v>2021</v>
      </c>
      <c r="C157" s="116">
        <v>153</v>
      </c>
      <c r="D157" s="458">
        <f t="shared" si="37"/>
        <v>117.01481383127528</v>
      </c>
      <c r="E157" s="116"/>
      <c r="F157" s="468">
        <f t="shared" si="38"/>
        <v>117.52499999999999</v>
      </c>
      <c r="H157" s="298" t="s">
        <v>219</v>
      </c>
      <c r="I157" s="116">
        <v>2021</v>
      </c>
      <c r="J157" s="116">
        <v>153</v>
      </c>
      <c r="K157" s="469">
        <f t="shared" si="39"/>
        <v>267.35868409253135</v>
      </c>
      <c r="L157" s="116"/>
      <c r="M157" s="440">
        <f t="shared" si="40"/>
        <v>261.67649999999998</v>
      </c>
      <c r="O157" s="881"/>
      <c r="P157" s="444">
        <v>153</v>
      </c>
      <c r="Q157" s="444">
        <f t="shared" si="44"/>
        <v>157.9412283645641</v>
      </c>
      <c r="R157" s="116">
        <f t="shared" si="50"/>
        <v>1.1288500470000001E-5</v>
      </c>
      <c r="S157" s="458">
        <f t="shared" si="48"/>
        <v>131.40181078853578</v>
      </c>
      <c r="T157" s="450">
        <f t="shared" si="49"/>
        <v>317.27877477427529</v>
      </c>
    </row>
    <row r="158" spans="1:20" x14ac:dyDescent="0.25">
      <c r="A158" s="298" t="s">
        <v>220</v>
      </c>
      <c r="B158" s="116">
        <v>2021</v>
      </c>
      <c r="C158" s="116">
        <v>154</v>
      </c>
      <c r="D158" s="458">
        <f t="shared" si="37"/>
        <v>117.13823306609071</v>
      </c>
      <c r="E158" s="116"/>
      <c r="F158" s="468">
        <f t="shared" si="38"/>
        <v>117.63</v>
      </c>
      <c r="H158" s="298" t="s">
        <v>220</v>
      </c>
      <c r="I158" s="116">
        <v>2021</v>
      </c>
      <c r="J158" s="116">
        <v>154</v>
      </c>
      <c r="K158" s="469">
        <f t="shared" si="39"/>
        <v>267.77509023099191</v>
      </c>
      <c r="L158" s="116"/>
      <c r="M158" s="440">
        <f t="shared" si="40"/>
        <v>261.98699999999997</v>
      </c>
      <c r="O158" s="881"/>
      <c r="P158" s="444">
        <v>154</v>
      </c>
      <c r="Q158" s="444">
        <f t="shared" si="44"/>
        <v>157.9412283645641</v>
      </c>
      <c r="R158" s="116">
        <f t="shared" si="50"/>
        <v>1.1288500470000001E-5</v>
      </c>
      <c r="S158" s="458">
        <f t="shared" si="48"/>
        <v>131.40181078853578</v>
      </c>
      <c r="T158" s="450">
        <f t="shared" si="49"/>
        <v>317.27877477427529</v>
      </c>
    </row>
    <row r="159" spans="1:20" x14ac:dyDescent="0.25">
      <c r="A159" s="298" t="s">
        <v>221</v>
      </c>
      <c r="B159" s="116">
        <v>2021</v>
      </c>
      <c r="C159" s="116">
        <v>155</v>
      </c>
      <c r="D159" s="458">
        <f t="shared" si="37"/>
        <v>117.26178247508686</v>
      </c>
      <c r="E159" s="116"/>
      <c r="F159" s="468">
        <f t="shared" si="38"/>
        <v>117.73499999999999</v>
      </c>
      <c r="H159" s="298" t="s">
        <v>221</v>
      </c>
      <c r="I159" s="116">
        <v>2021</v>
      </c>
      <c r="J159" s="116">
        <v>155</v>
      </c>
      <c r="K159" s="469">
        <f t="shared" si="39"/>
        <v>268.19214491420701</v>
      </c>
      <c r="L159" s="116"/>
      <c r="M159" s="440">
        <f t="shared" si="40"/>
        <v>262.29750000000001</v>
      </c>
      <c r="O159" s="881"/>
      <c r="P159" s="444">
        <v>155</v>
      </c>
      <c r="Q159" s="444">
        <f t="shared" si="44"/>
        <v>157.9412283645641</v>
      </c>
      <c r="R159" s="116">
        <f t="shared" si="50"/>
        <v>1.1288500470000001E-5</v>
      </c>
      <c r="S159" s="458">
        <f t="shared" si="48"/>
        <v>131.40181078853578</v>
      </c>
      <c r="T159" s="450">
        <f t="shared" si="49"/>
        <v>317.27877477427529</v>
      </c>
    </row>
    <row r="160" spans="1:20" x14ac:dyDescent="0.25">
      <c r="A160" s="298" t="s">
        <v>222</v>
      </c>
      <c r="B160" s="116">
        <v>2021</v>
      </c>
      <c r="C160" s="116">
        <v>156</v>
      </c>
      <c r="D160" s="458">
        <f t="shared" si="37"/>
        <v>117.38546219556257</v>
      </c>
      <c r="E160" s="116"/>
      <c r="F160" s="468">
        <f t="shared" si="38"/>
        <v>117.83999999999999</v>
      </c>
      <c r="H160" s="298" t="s">
        <v>222</v>
      </c>
      <c r="I160" s="116">
        <v>2021</v>
      </c>
      <c r="J160" s="116">
        <v>156</v>
      </c>
      <c r="K160" s="469">
        <f t="shared" si="39"/>
        <v>268.60984915227289</v>
      </c>
      <c r="L160" s="116"/>
      <c r="M160" s="440">
        <f t="shared" si="40"/>
        <v>262.608</v>
      </c>
      <c r="O160" s="881"/>
      <c r="P160" s="444">
        <v>156</v>
      </c>
      <c r="Q160" s="444">
        <f t="shared" si="44"/>
        <v>157.9412283645641</v>
      </c>
      <c r="R160" s="116">
        <f t="shared" si="50"/>
        <v>1.1288500470000001E-5</v>
      </c>
      <c r="S160" s="458">
        <f t="shared" si="48"/>
        <v>131.40181078853578</v>
      </c>
      <c r="T160" s="450">
        <f t="shared" si="49"/>
        <v>317.27877477427529</v>
      </c>
    </row>
    <row r="161" spans="1:20" x14ac:dyDescent="0.25">
      <c r="A161" s="298" t="s">
        <v>211</v>
      </c>
      <c r="B161" s="116">
        <v>2022</v>
      </c>
      <c r="C161" s="116">
        <v>157</v>
      </c>
      <c r="D161" s="458">
        <f t="shared" si="37"/>
        <v>117.50927236496148</v>
      </c>
      <c r="E161" s="116"/>
      <c r="F161" s="468">
        <f t="shared" si="38"/>
        <v>117.94499999999999</v>
      </c>
      <c r="H161" s="298" t="s">
        <v>211</v>
      </c>
      <c r="I161" s="116">
        <v>2022</v>
      </c>
      <c r="J161" s="116">
        <v>157</v>
      </c>
      <c r="K161" s="469">
        <f t="shared" si="39"/>
        <v>269.0282039568591</v>
      </c>
      <c r="L161" s="116"/>
      <c r="M161" s="440">
        <f t="shared" si="40"/>
        <v>262.91849999999999</v>
      </c>
      <c r="O161" s="881">
        <v>14</v>
      </c>
      <c r="P161" s="444">
        <v>157</v>
      </c>
      <c r="Q161" s="444">
        <f t="shared" si="44"/>
        <v>161.69202786555977</v>
      </c>
      <c r="R161" s="116">
        <f>'Análisis Econ CCGT Nuevo'!G39</f>
        <v>1.1601280080000001E-5</v>
      </c>
      <c r="S161" s="458">
        <f>$D$279</f>
        <v>133.07461649174948</v>
      </c>
      <c r="T161" s="450">
        <f>$K$279</f>
        <v>323.25970446890784</v>
      </c>
    </row>
    <row r="162" spans="1:20" x14ac:dyDescent="0.25">
      <c r="A162" s="298" t="s">
        <v>212</v>
      </c>
      <c r="B162" s="116">
        <v>2022</v>
      </c>
      <c r="C162" s="116">
        <v>158</v>
      </c>
      <c r="D162" s="458">
        <f t="shared" si="37"/>
        <v>117.6332131208722</v>
      </c>
      <c r="E162" s="116"/>
      <c r="F162" s="468">
        <f t="shared" si="38"/>
        <v>118.05</v>
      </c>
      <c r="H162" s="298" t="s">
        <v>212</v>
      </c>
      <c r="I162" s="116">
        <v>2022</v>
      </c>
      <c r="J162" s="116">
        <v>158</v>
      </c>
      <c r="K162" s="469">
        <f t="shared" si="39"/>
        <v>269.44721034121085</v>
      </c>
      <c r="L162" s="116"/>
      <c r="M162" s="440">
        <f t="shared" si="40"/>
        <v>263.22899999999998</v>
      </c>
      <c r="O162" s="881"/>
      <c r="P162" s="444">
        <v>158</v>
      </c>
      <c r="Q162" s="444">
        <f t="shared" si="44"/>
        <v>161.69202786555977</v>
      </c>
      <c r="R162" s="116">
        <f>R161</f>
        <v>1.1601280080000001E-5</v>
      </c>
      <c r="S162" s="458">
        <f t="shared" ref="S162:S172" si="51">$D$279</f>
        <v>133.07461649174948</v>
      </c>
      <c r="T162" s="450">
        <f t="shared" ref="T162:T171" si="52">$K$279</f>
        <v>323.25970446890784</v>
      </c>
    </row>
    <row r="163" spans="1:20" x14ac:dyDescent="0.25">
      <c r="A163" s="298" t="s">
        <v>213</v>
      </c>
      <c r="B163" s="116">
        <v>2022</v>
      </c>
      <c r="C163" s="116">
        <v>159</v>
      </c>
      <c r="D163" s="458">
        <f t="shared" si="37"/>
        <v>117.75728460102849</v>
      </c>
      <c r="E163" s="116"/>
      <c r="F163" s="468">
        <f t="shared" si="38"/>
        <v>118.155</v>
      </c>
      <c r="H163" s="298" t="s">
        <v>213</v>
      </c>
      <c r="I163" s="116">
        <v>2022</v>
      </c>
      <c r="J163" s="116">
        <v>159</v>
      </c>
      <c r="K163" s="469">
        <f t="shared" si="39"/>
        <v>269.86686932015135</v>
      </c>
      <c r="L163" s="116"/>
      <c r="M163" s="440">
        <f t="shared" si="40"/>
        <v>263.53949999999998</v>
      </c>
      <c r="O163" s="881"/>
      <c r="P163" s="444">
        <v>159</v>
      </c>
      <c r="Q163" s="444">
        <f t="shared" si="44"/>
        <v>161.69202786555977</v>
      </c>
      <c r="R163" s="116">
        <f t="shared" ref="R163:R172" si="53">R162</f>
        <v>1.1601280080000001E-5</v>
      </c>
      <c r="S163" s="458">
        <f t="shared" si="51"/>
        <v>133.07461649174948</v>
      </c>
      <c r="T163" s="450">
        <f t="shared" si="52"/>
        <v>323.25970446890784</v>
      </c>
    </row>
    <row r="164" spans="1:20" x14ac:dyDescent="0.25">
      <c r="A164" s="298" t="s">
        <v>214</v>
      </c>
      <c r="B164" s="116">
        <v>2022</v>
      </c>
      <c r="C164" s="116">
        <v>160</v>
      </c>
      <c r="D164" s="458">
        <f t="shared" si="37"/>
        <v>117.88148694330934</v>
      </c>
      <c r="E164" s="116"/>
      <c r="F164" s="468">
        <f t="shared" si="38"/>
        <v>118.25999999999999</v>
      </c>
      <c r="H164" s="298" t="s">
        <v>214</v>
      </c>
      <c r="I164" s="116">
        <v>2022</v>
      </c>
      <c r="J164" s="116">
        <v>160</v>
      </c>
      <c r="K164" s="469">
        <f t="shared" si="39"/>
        <v>270.28718191008448</v>
      </c>
      <c r="L164" s="116"/>
      <c r="M164" s="440">
        <f t="shared" si="40"/>
        <v>263.84999999999997</v>
      </c>
      <c r="O164" s="881"/>
      <c r="P164" s="444">
        <v>160</v>
      </c>
      <c r="Q164" s="444">
        <f t="shared" si="44"/>
        <v>161.69202786555977</v>
      </c>
      <c r="R164" s="116">
        <f t="shared" si="53"/>
        <v>1.1601280080000001E-5</v>
      </c>
      <c r="S164" s="458">
        <f t="shared" si="51"/>
        <v>133.07461649174948</v>
      </c>
      <c r="T164" s="450">
        <f t="shared" si="52"/>
        <v>323.25970446890784</v>
      </c>
    </row>
    <row r="165" spans="1:20" x14ac:dyDescent="0.25">
      <c r="A165" s="298" t="s">
        <v>215</v>
      </c>
      <c r="B165" s="116">
        <v>2022</v>
      </c>
      <c r="C165" s="116">
        <v>161</v>
      </c>
      <c r="D165" s="458">
        <f t="shared" si="37"/>
        <v>118.00582028573919</v>
      </c>
      <c r="E165" s="116"/>
      <c r="F165" s="468">
        <f t="shared" si="38"/>
        <v>118.36499999999999</v>
      </c>
      <c r="H165" s="298" t="s">
        <v>215</v>
      </c>
      <c r="I165" s="116">
        <v>2022</v>
      </c>
      <c r="J165" s="116">
        <v>161</v>
      </c>
      <c r="K165" s="469">
        <f t="shared" si="39"/>
        <v>270.70814912899709</v>
      </c>
      <c r="L165" s="116"/>
      <c r="M165" s="440">
        <f t="shared" si="40"/>
        <v>264.16049999999996</v>
      </c>
      <c r="O165" s="881"/>
      <c r="P165" s="444">
        <v>161</v>
      </c>
      <c r="Q165" s="444">
        <f t="shared" si="44"/>
        <v>161.69202786555977</v>
      </c>
      <c r="R165" s="116">
        <f t="shared" si="53"/>
        <v>1.1601280080000001E-5</v>
      </c>
      <c r="S165" s="458">
        <f t="shared" si="51"/>
        <v>133.07461649174948</v>
      </c>
      <c r="T165" s="450">
        <f t="shared" si="52"/>
        <v>323.25970446890784</v>
      </c>
    </row>
    <row r="166" spans="1:20" x14ac:dyDescent="0.25">
      <c r="A166" s="298" t="s">
        <v>216</v>
      </c>
      <c r="B166" s="116">
        <v>2022</v>
      </c>
      <c r="C166" s="116">
        <v>162</v>
      </c>
      <c r="D166" s="458">
        <f t="shared" si="37"/>
        <v>118.13028476648805</v>
      </c>
      <c r="E166" s="116"/>
      <c r="F166" s="468">
        <f t="shared" si="38"/>
        <v>118.47</v>
      </c>
      <c r="H166" s="298" t="s">
        <v>216</v>
      </c>
      <c r="I166" s="116">
        <v>2022</v>
      </c>
      <c r="J166" s="116">
        <v>162</v>
      </c>
      <c r="K166" s="469">
        <f t="shared" si="39"/>
        <v>271.1297719964615</v>
      </c>
      <c r="L166" s="116"/>
      <c r="M166" s="440">
        <f t="shared" si="40"/>
        <v>264.471</v>
      </c>
      <c r="O166" s="881"/>
      <c r="P166" s="444">
        <v>162</v>
      </c>
      <c r="Q166" s="444">
        <f t="shared" si="44"/>
        <v>161.69202786555977</v>
      </c>
      <c r="R166" s="116">
        <f t="shared" si="53"/>
        <v>1.1601280080000001E-5</v>
      </c>
      <c r="S166" s="458">
        <f t="shared" si="51"/>
        <v>133.07461649174948</v>
      </c>
      <c r="T166" s="450">
        <f t="shared" si="52"/>
        <v>323.25970446890784</v>
      </c>
    </row>
    <row r="167" spans="1:20" x14ac:dyDescent="0.25">
      <c r="A167" s="298" t="s">
        <v>217</v>
      </c>
      <c r="B167" s="116">
        <v>2022</v>
      </c>
      <c r="C167" s="116">
        <v>163</v>
      </c>
      <c r="D167" s="458">
        <f t="shared" si="37"/>
        <v>118.25488052387165</v>
      </c>
      <c r="E167" s="116"/>
      <c r="F167" s="468">
        <f t="shared" si="38"/>
        <v>118.57499999999999</v>
      </c>
      <c r="H167" s="298" t="s">
        <v>217</v>
      </c>
      <c r="I167" s="116">
        <v>2022</v>
      </c>
      <c r="J167" s="116">
        <v>163</v>
      </c>
      <c r="K167" s="469">
        <f t="shared" si="39"/>
        <v>271.55205153363806</v>
      </c>
      <c r="L167" s="116"/>
      <c r="M167" s="440">
        <f t="shared" si="40"/>
        <v>264.78149999999999</v>
      </c>
      <c r="O167" s="881"/>
      <c r="P167" s="444">
        <v>163</v>
      </c>
      <c r="Q167" s="444">
        <f t="shared" si="44"/>
        <v>161.69202786555977</v>
      </c>
      <c r="R167" s="116">
        <f t="shared" si="53"/>
        <v>1.1601280080000001E-5</v>
      </c>
      <c r="S167" s="458">
        <f t="shared" si="51"/>
        <v>133.07461649174948</v>
      </c>
      <c r="T167" s="450">
        <f t="shared" si="52"/>
        <v>323.25970446890784</v>
      </c>
    </row>
    <row r="168" spans="1:20" x14ac:dyDescent="0.25">
      <c r="A168" s="298" t="s">
        <v>218</v>
      </c>
      <c r="B168" s="116">
        <v>2022</v>
      </c>
      <c r="C168" s="116">
        <v>164</v>
      </c>
      <c r="D168" s="458">
        <f t="shared" si="37"/>
        <v>118.37960769635163</v>
      </c>
      <c r="E168" s="116"/>
      <c r="F168" s="468">
        <f t="shared" si="38"/>
        <v>118.67999999999999</v>
      </c>
      <c r="H168" s="298" t="s">
        <v>218</v>
      </c>
      <c r="I168" s="116">
        <v>2022</v>
      </c>
      <c r="J168" s="116">
        <v>164</v>
      </c>
      <c r="K168" s="469">
        <f t="shared" si="39"/>
        <v>271.97498876327757</v>
      </c>
      <c r="L168" s="116"/>
      <c r="M168" s="440">
        <f t="shared" si="40"/>
        <v>265.09199999999998</v>
      </c>
      <c r="O168" s="881"/>
      <c r="P168" s="444">
        <v>164</v>
      </c>
      <c r="Q168" s="444">
        <f t="shared" si="44"/>
        <v>161.69202786555977</v>
      </c>
      <c r="R168" s="116">
        <f t="shared" si="53"/>
        <v>1.1601280080000001E-5</v>
      </c>
      <c r="S168" s="458">
        <f t="shared" si="51"/>
        <v>133.07461649174948</v>
      </c>
      <c r="T168" s="450">
        <f t="shared" si="52"/>
        <v>323.25970446890784</v>
      </c>
    </row>
    <row r="169" spans="1:20" x14ac:dyDescent="0.25">
      <c r="A169" s="298" t="s">
        <v>219</v>
      </c>
      <c r="B169" s="116">
        <v>2022</v>
      </c>
      <c r="C169" s="116">
        <v>165</v>
      </c>
      <c r="D169" s="458">
        <f t="shared" si="37"/>
        <v>118.50446642253566</v>
      </c>
      <c r="E169" s="116"/>
      <c r="F169" s="468">
        <f t="shared" si="38"/>
        <v>118.785</v>
      </c>
      <c r="H169" s="298" t="s">
        <v>219</v>
      </c>
      <c r="I169" s="116">
        <v>2022</v>
      </c>
      <c r="J169" s="116">
        <v>165</v>
      </c>
      <c r="K169" s="469">
        <f t="shared" si="39"/>
        <v>272.39858470972371</v>
      </c>
      <c r="L169" s="116"/>
      <c r="M169" s="440">
        <f t="shared" si="40"/>
        <v>265.40249999999997</v>
      </c>
      <c r="O169" s="881"/>
      <c r="P169" s="444">
        <v>165</v>
      </c>
      <c r="Q169" s="444">
        <f t="shared" si="44"/>
        <v>161.69202786555977</v>
      </c>
      <c r="R169" s="116">
        <f t="shared" si="53"/>
        <v>1.1601280080000001E-5</v>
      </c>
      <c r="S169" s="458">
        <f t="shared" si="51"/>
        <v>133.07461649174948</v>
      </c>
      <c r="T169" s="450">
        <f t="shared" si="52"/>
        <v>323.25970446890784</v>
      </c>
    </row>
    <row r="170" spans="1:20" x14ac:dyDescent="0.25">
      <c r="A170" s="298" t="s">
        <v>220</v>
      </c>
      <c r="B170" s="116">
        <v>2022</v>
      </c>
      <c r="C170" s="116">
        <v>166</v>
      </c>
      <c r="D170" s="458">
        <f t="shared" si="37"/>
        <v>118.6294568411776</v>
      </c>
      <c r="E170" s="116"/>
      <c r="F170" s="468">
        <f t="shared" si="38"/>
        <v>118.88999999999999</v>
      </c>
      <c r="H170" s="298" t="s">
        <v>220</v>
      </c>
      <c r="I170" s="116">
        <v>2022</v>
      </c>
      <c r="J170" s="116">
        <v>166</v>
      </c>
      <c r="K170" s="469">
        <f t="shared" si="39"/>
        <v>272.8228403989155</v>
      </c>
      <c r="L170" s="116"/>
      <c r="M170" s="440">
        <f t="shared" si="40"/>
        <v>265.71299999999997</v>
      </c>
      <c r="O170" s="881"/>
      <c r="P170" s="444">
        <v>166</v>
      </c>
      <c r="Q170" s="444">
        <f t="shared" si="44"/>
        <v>161.69202786555977</v>
      </c>
      <c r="R170" s="116">
        <f t="shared" si="53"/>
        <v>1.1601280080000001E-5</v>
      </c>
      <c r="S170" s="458">
        <f t="shared" si="51"/>
        <v>133.07461649174948</v>
      </c>
      <c r="T170" s="450">
        <f t="shared" si="52"/>
        <v>323.25970446890784</v>
      </c>
    </row>
    <row r="171" spans="1:20" x14ac:dyDescent="0.25">
      <c r="A171" s="298" t="s">
        <v>221</v>
      </c>
      <c r="B171" s="116">
        <v>2022</v>
      </c>
      <c r="C171" s="116">
        <v>167</v>
      </c>
      <c r="D171" s="458">
        <f t="shared" si="37"/>
        <v>118.75457909117767</v>
      </c>
      <c r="E171" s="116"/>
      <c r="F171" s="468">
        <f t="shared" si="38"/>
        <v>118.99499999999999</v>
      </c>
      <c r="H171" s="298" t="s">
        <v>221</v>
      </c>
      <c r="I171" s="116">
        <v>2022</v>
      </c>
      <c r="J171" s="116">
        <v>167</v>
      </c>
      <c r="K171" s="469">
        <f t="shared" si="39"/>
        <v>273.24775685838995</v>
      </c>
      <c r="L171" s="116"/>
      <c r="M171" s="440">
        <f t="shared" si="40"/>
        <v>266.02350000000001</v>
      </c>
      <c r="O171" s="881"/>
      <c r="P171" s="444">
        <v>167</v>
      </c>
      <c r="Q171" s="444">
        <f t="shared" si="44"/>
        <v>161.69202786555977</v>
      </c>
      <c r="R171" s="116">
        <f t="shared" si="53"/>
        <v>1.1601280080000001E-5</v>
      </c>
      <c r="S171" s="458">
        <f t="shared" si="51"/>
        <v>133.07461649174948</v>
      </c>
      <c r="T171" s="450">
        <f t="shared" si="52"/>
        <v>323.25970446890784</v>
      </c>
    </row>
    <row r="172" spans="1:20" x14ac:dyDescent="0.25">
      <c r="A172" s="298" t="s">
        <v>222</v>
      </c>
      <c r="B172" s="116">
        <v>2022</v>
      </c>
      <c r="C172" s="116">
        <v>168</v>
      </c>
      <c r="D172" s="458">
        <f t="shared" si="37"/>
        <v>118.87983331158259</v>
      </c>
      <c r="E172" s="116"/>
      <c r="F172" s="468">
        <f t="shared" si="38"/>
        <v>119.1</v>
      </c>
      <c r="H172" s="298" t="s">
        <v>222</v>
      </c>
      <c r="I172" s="116">
        <v>2022</v>
      </c>
      <c r="J172" s="116">
        <v>168</v>
      </c>
      <c r="K172" s="469">
        <f t="shared" si="39"/>
        <v>273.67333511728441</v>
      </c>
      <c r="L172" s="116"/>
      <c r="M172" s="440">
        <f t="shared" si="40"/>
        <v>266.334</v>
      </c>
      <c r="O172" s="881"/>
      <c r="P172" s="444">
        <v>168</v>
      </c>
      <c r="Q172" s="444">
        <f t="shared" si="44"/>
        <v>161.69202786555977</v>
      </c>
      <c r="R172" s="116">
        <f t="shared" si="53"/>
        <v>1.1601280080000001E-5</v>
      </c>
      <c r="S172" s="458">
        <f t="shared" si="51"/>
        <v>133.07461649174948</v>
      </c>
      <c r="T172" s="450">
        <f>$K$279</f>
        <v>323.25970446890784</v>
      </c>
    </row>
    <row r="173" spans="1:20" x14ac:dyDescent="0.25">
      <c r="A173" s="298" t="s">
        <v>211</v>
      </c>
      <c r="B173" s="116">
        <v>2023</v>
      </c>
      <c r="C173" s="116">
        <v>169</v>
      </c>
      <c r="D173" s="458">
        <f t="shared" si="37"/>
        <v>119.0052196415857</v>
      </c>
      <c r="E173" s="116"/>
      <c r="F173" s="468">
        <f t="shared" si="38"/>
        <v>119.205</v>
      </c>
      <c r="H173" s="298" t="s">
        <v>211</v>
      </c>
      <c r="I173" s="116">
        <v>2023</v>
      </c>
      <c r="J173" s="116">
        <v>169</v>
      </c>
      <c r="K173" s="469">
        <f t="shared" si="39"/>
        <v>274.09957620633901</v>
      </c>
      <c r="L173" s="116"/>
      <c r="M173" s="440">
        <f t="shared" si="40"/>
        <v>266.64449999999999</v>
      </c>
      <c r="O173" s="881">
        <v>15</v>
      </c>
      <c r="P173" s="444">
        <v>169</v>
      </c>
      <c r="Q173" s="444">
        <f t="shared" si="44"/>
        <v>163.09497430308483</v>
      </c>
      <c r="R173" s="116">
        <f>'Análisis Econ CCGT Nuevo'!G40</f>
        <v>1.1620236420000001E-5</v>
      </c>
      <c r="S173" s="458">
        <f>$D$291</f>
        <v>134.7687177836915</v>
      </c>
      <c r="T173" s="450">
        <f>$K$291</f>
        <v>329.3533789257375</v>
      </c>
    </row>
    <row r="174" spans="1:20" x14ac:dyDescent="0.25">
      <c r="A174" s="298" t="s">
        <v>212</v>
      </c>
      <c r="B174" s="116">
        <v>2023</v>
      </c>
      <c r="C174" s="116">
        <v>170</v>
      </c>
      <c r="D174" s="458">
        <f t="shared" si="37"/>
        <v>119.13073822052721</v>
      </c>
      <c r="E174" s="116"/>
      <c r="F174" s="468">
        <f t="shared" si="38"/>
        <v>119.30999999999999</v>
      </c>
      <c r="H174" s="298" t="s">
        <v>212</v>
      </c>
      <c r="I174" s="116">
        <v>2023</v>
      </c>
      <c r="J174" s="116">
        <v>170</v>
      </c>
      <c r="K174" s="469">
        <f t="shared" si="39"/>
        <v>274.52648115789935</v>
      </c>
      <c r="L174" s="116"/>
      <c r="M174" s="440">
        <f t="shared" si="40"/>
        <v>266.95499999999998</v>
      </c>
      <c r="O174" s="881"/>
      <c r="P174" s="444">
        <v>170</v>
      </c>
      <c r="Q174" s="444">
        <f t="shared" si="44"/>
        <v>163.09497430308483</v>
      </c>
      <c r="R174" s="116">
        <f>R173</f>
        <v>1.1620236420000001E-5</v>
      </c>
      <c r="S174" s="458">
        <f t="shared" ref="S174:S184" si="54">$D$291</f>
        <v>134.7687177836915</v>
      </c>
      <c r="T174" s="450">
        <f t="shared" ref="T174:T184" si="55">$K$291</f>
        <v>329.3533789257375</v>
      </c>
    </row>
    <row r="175" spans="1:20" x14ac:dyDescent="0.25">
      <c r="A175" s="298" t="s">
        <v>213</v>
      </c>
      <c r="B175" s="116">
        <v>2023</v>
      </c>
      <c r="C175" s="116">
        <v>171</v>
      </c>
      <c r="D175" s="458">
        <f t="shared" si="37"/>
        <v>119.25638918789426</v>
      </c>
      <c r="E175" s="116"/>
      <c r="F175" s="468">
        <f t="shared" si="38"/>
        <v>119.41499999999999</v>
      </c>
      <c r="H175" s="298" t="s">
        <v>213</v>
      </c>
      <c r="I175" s="116">
        <v>2023</v>
      </c>
      <c r="J175" s="116">
        <v>171</v>
      </c>
      <c r="K175" s="469">
        <f t="shared" si="39"/>
        <v>274.95405100591881</v>
      </c>
      <c r="L175" s="116"/>
      <c r="M175" s="440">
        <f t="shared" si="40"/>
        <v>267.26549999999997</v>
      </c>
      <c r="O175" s="881"/>
      <c r="P175" s="444">
        <v>171</v>
      </c>
      <c r="Q175" s="444">
        <f t="shared" si="44"/>
        <v>163.09497430308483</v>
      </c>
      <c r="R175" s="116">
        <f t="shared" ref="R175:R184" si="56">R174</f>
        <v>1.1620236420000001E-5</v>
      </c>
      <c r="S175" s="458">
        <f t="shared" si="54"/>
        <v>134.7687177836915</v>
      </c>
      <c r="T175" s="450">
        <f t="shared" si="55"/>
        <v>329.3533789257375</v>
      </c>
    </row>
    <row r="176" spans="1:20" x14ac:dyDescent="0.25">
      <c r="A176" s="298" t="s">
        <v>214</v>
      </c>
      <c r="B176" s="116">
        <v>2023</v>
      </c>
      <c r="C176" s="116">
        <v>172</v>
      </c>
      <c r="D176" s="458">
        <f t="shared" si="37"/>
        <v>119.38217268332112</v>
      </c>
      <c r="E176" s="116"/>
      <c r="F176" s="468">
        <f t="shared" si="38"/>
        <v>119.52</v>
      </c>
      <c r="H176" s="298" t="s">
        <v>214</v>
      </c>
      <c r="I176" s="116">
        <v>2023</v>
      </c>
      <c r="J176" s="116">
        <v>172</v>
      </c>
      <c r="K176" s="469">
        <f t="shared" si="39"/>
        <v>275.38228678596113</v>
      </c>
      <c r="L176" s="116"/>
      <c r="M176" s="440">
        <f t="shared" si="40"/>
        <v>267.57599999999996</v>
      </c>
      <c r="O176" s="881"/>
      <c r="P176" s="444">
        <v>172</v>
      </c>
      <c r="Q176" s="444">
        <f t="shared" si="44"/>
        <v>163.09497430308483</v>
      </c>
      <c r="R176" s="116">
        <f t="shared" si="56"/>
        <v>1.1620236420000001E-5</v>
      </c>
      <c r="S176" s="458">
        <f t="shared" si="54"/>
        <v>134.7687177836915</v>
      </c>
      <c r="T176" s="450">
        <f t="shared" si="55"/>
        <v>329.3533789257375</v>
      </c>
    </row>
    <row r="177" spans="1:20" x14ac:dyDescent="0.25">
      <c r="A177" s="298" t="s">
        <v>215</v>
      </c>
      <c r="B177" s="116">
        <v>2023</v>
      </c>
      <c r="C177" s="116">
        <v>173</v>
      </c>
      <c r="D177" s="458">
        <f t="shared" si="37"/>
        <v>119.50808884658933</v>
      </c>
      <c r="E177" s="116"/>
      <c r="F177" s="468">
        <f t="shared" si="38"/>
        <v>119.625</v>
      </c>
      <c r="H177" s="298" t="s">
        <v>215</v>
      </c>
      <c r="I177" s="116">
        <v>2023</v>
      </c>
      <c r="J177" s="116">
        <v>173</v>
      </c>
      <c r="K177" s="469">
        <f t="shared" si="39"/>
        <v>275.81118953520297</v>
      </c>
      <c r="L177" s="116"/>
      <c r="M177" s="440">
        <f t="shared" si="40"/>
        <v>267.88649999999996</v>
      </c>
      <c r="O177" s="881"/>
      <c r="P177" s="444">
        <v>173</v>
      </c>
      <c r="Q177" s="444">
        <f t="shared" si="44"/>
        <v>163.09497430308483</v>
      </c>
      <c r="R177" s="116">
        <f t="shared" si="56"/>
        <v>1.1620236420000001E-5</v>
      </c>
      <c r="S177" s="458">
        <f t="shared" si="54"/>
        <v>134.7687177836915</v>
      </c>
      <c r="T177" s="450">
        <f t="shared" si="55"/>
        <v>329.3533789257375</v>
      </c>
    </row>
    <row r="178" spans="1:20" x14ac:dyDescent="0.25">
      <c r="A178" s="298" t="s">
        <v>216</v>
      </c>
      <c r="B178" s="116">
        <v>2023</v>
      </c>
      <c r="C178" s="116">
        <v>174</v>
      </c>
      <c r="D178" s="458">
        <f t="shared" si="37"/>
        <v>119.63413781762789</v>
      </c>
      <c r="E178" s="116"/>
      <c r="F178" s="468">
        <f t="shared" si="38"/>
        <v>119.72999999999999</v>
      </c>
      <c r="H178" s="298" t="s">
        <v>216</v>
      </c>
      <c r="I178" s="116">
        <v>2023</v>
      </c>
      <c r="J178" s="116">
        <v>174</v>
      </c>
      <c r="K178" s="469">
        <f t="shared" si="39"/>
        <v>276.24076029243639</v>
      </c>
      <c r="L178" s="116"/>
      <c r="M178" s="440">
        <f t="shared" si="40"/>
        <v>268.197</v>
      </c>
      <c r="O178" s="881"/>
      <c r="P178" s="444">
        <v>174</v>
      </c>
      <c r="Q178" s="444">
        <f t="shared" si="44"/>
        <v>163.09497430308483</v>
      </c>
      <c r="R178" s="116">
        <f t="shared" si="56"/>
        <v>1.1620236420000001E-5</v>
      </c>
      <c r="S178" s="458">
        <f t="shared" si="54"/>
        <v>134.7687177836915</v>
      </c>
      <c r="T178" s="450">
        <f t="shared" si="55"/>
        <v>329.3533789257375</v>
      </c>
    </row>
    <row r="179" spans="1:20" x14ac:dyDescent="0.25">
      <c r="A179" s="298" t="s">
        <v>217</v>
      </c>
      <c r="B179" s="116">
        <v>2023</v>
      </c>
      <c r="C179" s="116">
        <v>175</v>
      </c>
      <c r="D179" s="458">
        <f t="shared" si="37"/>
        <v>119.76031973651335</v>
      </c>
      <c r="E179" s="116"/>
      <c r="F179" s="468">
        <f t="shared" si="38"/>
        <v>119.83499999999999</v>
      </c>
      <c r="H179" s="298" t="s">
        <v>217</v>
      </c>
      <c r="I179" s="116">
        <v>2023</v>
      </c>
      <c r="J179" s="116">
        <v>175</v>
      </c>
      <c r="K179" s="469">
        <f t="shared" si="39"/>
        <v>276.67100009807132</v>
      </c>
      <c r="L179" s="116"/>
      <c r="M179" s="440">
        <f t="shared" si="40"/>
        <v>268.50749999999999</v>
      </c>
      <c r="O179" s="881"/>
      <c r="P179" s="444">
        <v>175</v>
      </c>
      <c r="Q179" s="444">
        <f t="shared" si="44"/>
        <v>163.09497430308483</v>
      </c>
      <c r="R179" s="116">
        <f t="shared" si="56"/>
        <v>1.1620236420000001E-5</v>
      </c>
      <c r="S179" s="458">
        <f t="shared" si="54"/>
        <v>134.7687177836915</v>
      </c>
      <c r="T179" s="450">
        <f t="shared" si="55"/>
        <v>329.3533789257375</v>
      </c>
    </row>
    <row r="180" spans="1:20" x14ac:dyDescent="0.25">
      <c r="A180" s="298" t="s">
        <v>218</v>
      </c>
      <c r="B180" s="116">
        <v>2023</v>
      </c>
      <c r="C180" s="116">
        <v>176</v>
      </c>
      <c r="D180" s="458">
        <f t="shared" si="37"/>
        <v>119.88663474347003</v>
      </c>
      <c r="E180" s="116"/>
      <c r="F180" s="468">
        <f t="shared" si="38"/>
        <v>119.94</v>
      </c>
      <c r="H180" s="298" t="s">
        <v>218</v>
      </c>
      <c r="I180" s="116">
        <v>2023</v>
      </c>
      <c r="J180" s="116">
        <v>176</v>
      </c>
      <c r="K180" s="469">
        <f t="shared" si="39"/>
        <v>277.10190999413805</v>
      </c>
      <c r="L180" s="116"/>
      <c r="M180" s="440">
        <f t="shared" si="40"/>
        <v>268.81799999999998</v>
      </c>
      <c r="O180" s="881"/>
      <c r="P180" s="444">
        <v>176</v>
      </c>
      <c r="Q180" s="444">
        <f t="shared" si="44"/>
        <v>163.09497430308483</v>
      </c>
      <c r="R180" s="116">
        <f t="shared" si="56"/>
        <v>1.1620236420000001E-5</v>
      </c>
      <c r="S180" s="458">
        <f t="shared" si="54"/>
        <v>134.7687177836915</v>
      </c>
      <c r="T180" s="450">
        <f t="shared" si="55"/>
        <v>329.3533789257375</v>
      </c>
    </row>
    <row r="181" spans="1:20" x14ac:dyDescent="0.25">
      <c r="A181" s="298" t="s">
        <v>219</v>
      </c>
      <c r="B181" s="116">
        <v>2023</v>
      </c>
      <c r="C181" s="116">
        <v>177</v>
      </c>
      <c r="D181" s="458">
        <f t="shared" si="37"/>
        <v>120.01308297887013</v>
      </c>
      <c r="E181" s="116"/>
      <c r="F181" s="468">
        <f t="shared" si="38"/>
        <v>120.04499999999999</v>
      </c>
      <c r="H181" s="298" t="s">
        <v>219</v>
      </c>
      <c r="I181" s="116">
        <v>2023</v>
      </c>
      <c r="J181" s="116">
        <v>177</v>
      </c>
      <c r="K181" s="469">
        <f t="shared" si="39"/>
        <v>277.5334910242899</v>
      </c>
      <c r="L181" s="116"/>
      <c r="M181" s="440">
        <f t="shared" si="40"/>
        <v>269.12849999999997</v>
      </c>
      <c r="O181" s="881"/>
      <c r="P181" s="444">
        <v>177</v>
      </c>
      <c r="Q181" s="444">
        <f t="shared" si="44"/>
        <v>163.09497430308483</v>
      </c>
      <c r="R181" s="116">
        <f t="shared" si="56"/>
        <v>1.1620236420000001E-5</v>
      </c>
      <c r="S181" s="458">
        <f t="shared" si="54"/>
        <v>134.7687177836915</v>
      </c>
      <c r="T181" s="450">
        <f t="shared" si="55"/>
        <v>329.3533789257375</v>
      </c>
    </row>
    <row r="182" spans="1:20" x14ac:dyDescent="0.25">
      <c r="A182" s="298" t="s">
        <v>220</v>
      </c>
      <c r="B182" s="116">
        <v>2023</v>
      </c>
      <c r="C182" s="116">
        <v>178</v>
      </c>
      <c r="D182" s="458">
        <f t="shared" si="37"/>
        <v>120.13966458323392</v>
      </c>
      <c r="E182" s="116"/>
      <c r="F182" s="468">
        <f t="shared" si="38"/>
        <v>120.14999999999999</v>
      </c>
      <c r="H182" s="298" t="s">
        <v>220</v>
      </c>
      <c r="I182" s="116">
        <v>2023</v>
      </c>
      <c r="J182" s="116">
        <v>178</v>
      </c>
      <c r="K182" s="469">
        <f t="shared" si="39"/>
        <v>277.96574423380565</v>
      </c>
      <c r="L182" s="116"/>
      <c r="M182" s="440">
        <f t="shared" si="40"/>
        <v>269.43899999999996</v>
      </c>
      <c r="O182" s="881"/>
      <c r="P182" s="444">
        <v>178</v>
      </c>
      <c r="Q182" s="444">
        <f t="shared" si="44"/>
        <v>163.09497430308483</v>
      </c>
      <c r="R182" s="116">
        <f t="shared" si="56"/>
        <v>1.1620236420000001E-5</v>
      </c>
      <c r="S182" s="458">
        <f t="shared" si="54"/>
        <v>134.7687177836915</v>
      </c>
      <c r="T182" s="450">
        <f t="shared" si="55"/>
        <v>329.3533789257375</v>
      </c>
    </row>
    <row r="183" spans="1:20" x14ac:dyDescent="0.25">
      <c r="A183" s="298" t="s">
        <v>221</v>
      </c>
      <c r="B183" s="116">
        <v>2023</v>
      </c>
      <c r="C183" s="116">
        <v>179</v>
      </c>
      <c r="D183" s="458">
        <f t="shared" si="37"/>
        <v>120.26637969722988</v>
      </c>
      <c r="E183" s="116"/>
      <c r="F183" s="468">
        <f t="shared" si="38"/>
        <v>120.255</v>
      </c>
      <c r="H183" s="298" t="s">
        <v>221</v>
      </c>
      <c r="I183" s="116">
        <v>2023</v>
      </c>
      <c r="J183" s="116">
        <v>179</v>
      </c>
      <c r="K183" s="469">
        <f t="shared" si="39"/>
        <v>278.39867066959198</v>
      </c>
      <c r="L183" s="116"/>
      <c r="M183" s="440">
        <f t="shared" si="40"/>
        <v>269.74950000000001</v>
      </c>
      <c r="O183" s="881"/>
      <c r="P183" s="444">
        <v>179</v>
      </c>
      <c r="Q183" s="444">
        <f t="shared" si="44"/>
        <v>163.09497430308483</v>
      </c>
      <c r="R183" s="116">
        <f t="shared" si="56"/>
        <v>1.1620236420000001E-5</v>
      </c>
      <c r="S183" s="458">
        <f t="shared" si="54"/>
        <v>134.7687177836915</v>
      </c>
      <c r="T183" s="450">
        <f t="shared" si="55"/>
        <v>329.3533789257375</v>
      </c>
    </row>
    <row r="184" spans="1:20" x14ac:dyDescent="0.25">
      <c r="A184" s="298" t="s">
        <v>222</v>
      </c>
      <c r="B184" s="116">
        <v>2023</v>
      </c>
      <c r="C184" s="116">
        <v>180</v>
      </c>
      <c r="D184" s="458">
        <f t="shared" si="37"/>
        <v>120.39322846167484</v>
      </c>
      <c r="E184" s="116"/>
      <c r="F184" s="468">
        <f t="shared" si="38"/>
        <v>120.35999999999999</v>
      </c>
      <c r="H184" s="298" t="s">
        <v>222</v>
      </c>
      <c r="I184" s="116">
        <v>2023</v>
      </c>
      <c r="J184" s="116">
        <v>180</v>
      </c>
      <c r="K184" s="469">
        <f t="shared" si="39"/>
        <v>278.83227138018628</v>
      </c>
      <c r="L184" s="116"/>
      <c r="M184" s="440">
        <f t="shared" si="40"/>
        <v>270.06</v>
      </c>
      <c r="O184" s="881"/>
      <c r="P184" s="444">
        <v>180</v>
      </c>
      <c r="Q184" s="444">
        <f t="shared" si="44"/>
        <v>163.09497430308483</v>
      </c>
      <c r="R184" s="116">
        <f t="shared" si="56"/>
        <v>1.1620236420000001E-5</v>
      </c>
      <c r="S184" s="458">
        <f t="shared" si="54"/>
        <v>134.7687177836915</v>
      </c>
      <c r="T184" s="450">
        <f t="shared" si="55"/>
        <v>329.3533789257375</v>
      </c>
    </row>
    <row r="185" spans="1:20" x14ac:dyDescent="0.25">
      <c r="A185" s="298" t="s">
        <v>211</v>
      </c>
      <c r="B185" s="116">
        <v>2024</v>
      </c>
      <c r="C185" s="116">
        <v>181</v>
      </c>
      <c r="D185" s="458">
        <f t="shared" ref="D185:D248" si="57">D184*(1+$E$120)</f>
        <v>120.52021101753417</v>
      </c>
      <c r="E185" s="116"/>
      <c r="F185" s="468">
        <f t="shared" ref="F185:F248" si="58">0.105*C185+101.46</f>
        <v>120.46499999999999</v>
      </c>
      <c r="H185" s="298" t="s">
        <v>211</v>
      </c>
      <c r="I185" s="116">
        <v>2024</v>
      </c>
      <c r="J185" s="116">
        <v>181</v>
      </c>
      <c r="K185" s="469">
        <f t="shared" ref="K185:K248" si="59">K184*(1+$L$120)</f>
        <v>279.26654741575885</v>
      </c>
      <c r="L185" s="116"/>
      <c r="M185" s="440">
        <f t="shared" ref="M185:M248" si="60">0.3105*J185+214.17</f>
        <v>270.37049999999999</v>
      </c>
      <c r="O185" s="881">
        <v>16</v>
      </c>
      <c r="P185" s="444">
        <v>181</v>
      </c>
      <c r="Q185" s="444">
        <f t="shared" si="44"/>
        <v>166.05045411257089</v>
      </c>
      <c r="R185" s="116">
        <f>'Análisis Econ CCGT Nuevo'!G41</f>
        <v>1.182875616E-5</v>
      </c>
      <c r="S185" s="458">
        <f>$D$303</f>
        <v>136.48438576703577</v>
      </c>
      <c r="T185" s="450">
        <f>$K$303</f>
        <v>335.56192346341078</v>
      </c>
    </row>
    <row r="186" spans="1:20" x14ac:dyDescent="0.25">
      <c r="A186" s="298" t="s">
        <v>212</v>
      </c>
      <c r="B186" s="116">
        <v>2024</v>
      </c>
      <c r="C186" s="116">
        <v>182</v>
      </c>
      <c r="D186" s="458">
        <f t="shared" si="57"/>
        <v>120.64732750592192</v>
      </c>
      <c r="E186" s="116"/>
      <c r="F186" s="468">
        <f t="shared" si="58"/>
        <v>120.57</v>
      </c>
      <c r="H186" s="298" t="s">
        <v>212</v>
      </c>
      <c r="I186" s="116">
        <v>2024</v>
      </c>
      <c r="J186" s="116">
        <v>182</v>
      </c>
      <c r="K186" s="469">
        <f t="shared" si="59"/>
        <v>279.70149982811574</v>
      </c>
      <c r="L186" s="116"/>
      <c r="M186" s="440">
        <f t="shared" si="60"/>
        <v>270.68099999999998</v>
      </c>
      <c r="O186" s="881"/>
      <c r="P186" s="444">
        <v>182</v>
      </c>
      <c r="Q186" s="444">
        <f t="shared" si="44"/>
        <v>166.05045411257089</v>
      </c>
      <c r="R186" s="116">
        <f>R185</f>
        <v>1.182875616E-5</v>
      </c>
      <c r="S186" s="458">
        <f t="shared" ref="S186:S196" si="61">$D$303</f>
        <v>136.48438576703577</v>
      </c>
      <c r="T186" s="450">
        <f t="shared" ref="T186:T196" si="62">$K$303</f>
        <v>335.56192346341078</v>
      </c>
    </row>
    <row r="187" spans="1:20" x14ac:dyDescent="0.25">
      <c r="A187" s="298" t="s">
        <v>213</v>
      </c>
      <c r="B187" s="116">
        <v>2024</v>
      </c>
      <c r="C187" s="116">
        <v>183</v>
      </c>
      <c r="D187" s="458">
        <f t="shared" si="57"/>
        <v>120.77457806810098</v>
      </c>
      <c r="E187" s="116"/>
      <c r="F187" s="468">
        <f t="shared" si="58"/>
        <v>120.675</v>
      </c>
      <c r="H187" s="298" t="s">
        <v>213</v>
      </c>
      <c r="I187" s="116">
        <v>2024</v>
      </c>
      <c r="J187" s="116">
        <v>183</v>
      </c>
      <c r="K187" s="469">
        <f t="shared" si="59"/>
        <v>280.13712967070109</v>
      </c>
      <c r="L187" s="116"/>
      <c r="M187" s="440">
        <f t="shared" si="60"/>
        <v>270.99149999999997</v>
      </c>
      <c r="O187" s="881"/>
      <c r="P187" s="444">
        <v>183</v>
      </c>
      <c r="Q187" s="444">
        <f t="shared" si="44"/>
        <v>166.05045411257089</v>
      </c>
      <c r="R187" s="116">
        <f t="shared" ref="R187:R196" si="63">R186</f>
        <v>1.182875616E-5</v>
      </c>
      <c r="S187" s="458">
        <f t="shared" si="61"/>
        <v>136.48438576703577</v>
      </c>
      <c r="T187" s="450">
        <f t="shared" si="62"/>
        <v>335.56192346341078</v>
      </c>
    </row>
    <row r="188" spans="1:20" x14ac:dyDescent="0.25">
      <c r="A188" s="298" t="s">
        <v>214</v>
      </c>
      <c r="B188" s="116">
        <v>2024</v>
      </c>
      <c r="C188" s="116">
        <v>184</v>
      </c>
      <c r="D188" s="458">
        <f t="shared" si="57"/>
        <v>120.90196284548323</v>
      </c>
      <c r="E188" s="116"/>
      <c r="F188" s="468">
        <f t="shared" si="58"/>
        <v>120.78</v>
      </c>
      <c r="H188" s="298" t="s">
        <v>214</v>
      </c>
      <c r="I188" s="116">
        <v>2024</v>
      </c>
      <c r="J188" s="116">
        <v>184</v>
      </c>
      <c r="K188" s="469">
        <f t="shared" si="59"/>
        <v>280.57343799859973</v>
      </c>
      <c r="L188" s="116"/>
      <c r="M188" s="440">
        <f t="shared" si="60"/>
        <v>271.30199999999996</v>
      </c>
      <c r="O188" s="881"/>
      <c r="P188" s="444">
        <v>184</v>
      </c>
      <c r="Q188" s="444">
        <f t="shared" si="44"/>
        <v>166.05045411257089</v>
      </c>
      <c r="R188" s="116">
        <f t="shared" si="63"/>
        <v>1.182875616E-5</v>
      </c>
      <c r="S188" s="458">
        <f t="shared" si="61"/>
        <v>136.48438576703577</v>
      </c>
      <c r="T188" s="450">
        <f t="shared" si="62"/>
        <v>335.56192346341078</v>
      </c>
    </row>
    <row r="189" spans="1:20" x14ac:dyDescent="0.25">
      <c r="A189" s="298" t="s">
        <v>215</v>
      </c>
      <c r="B189" s="116">
        <v>2024</v>
      </c>
      <c r="C189" s="116">
        <v>185</v>
      </c>
      <c r="D189" s="458">
        <f t="shared" si="57"/>
        <v>121.02948197962968</v>
      </c>
      <c r="E189" s="116"/>
      <c r="F189" s="468">
        <f t="shared" si="58"/>
        <v>120.88499999999999</v>
      </c>
      <c r="H189" s="298" t="s">
        <v>215</v>
      </c>
      <c r="I189" s="116">
        <v>2024</v>
      </c>
      <c r="J189" s="116">
        <v>185</v>
      </c>
      <c r="K189" s="469">
        <f t="shared" si="59"/>
        <v>281.01042586853987</v>
      </c>
      <c r="L189" s="116"/>
      <c r="M189" s="440">
        <f t="shared" si="60"/>
        <v>271.61250000000001</v>
      </c>
      <c r="O189" s="881"/>
      <c r="P189" s="444">
        <v>185</v>
      </c>
      <c r="Q189" s="444">
        <f t="shared" si="44"/>
        <v>166.05045411257089</v>
      </c>
      <c r="R189" s="116">
        <f t="shared" si="63"/>
        <v>1.182875616E-5</v>
      </c>
      <c r="S189" s="458">
        <f t="shared" si="61"/>
        <v>136.48438576703577</v>
      </c>
      <c r="T189" s="450">
        <f t="shared" si="62"/>
        <v>335.56192346341078</v>
      </c>
    </row>
    <row r="190" spans="1:20" x14ac:dyDescent="0.25">
      <c r="A190" s="298" t="s">
        <v>216</v>
      </c>
      <c r="B190" s="116">
        <v>2024</v>
      </c>
      <c r="C190" s="116">
        <v>186</v>
      </c>
      <c r="D190" s="458">
        <f t="shared" si="57"/>
        <v>121.1571356122507</v>
      </c>
      <c r="E190" s="116"/>
      <c r="F190" s="468">
        <f t="shared" si="58"/>
        <v>120.99</v>
      </c>
      <c r="H190" s="298" t="s">
        <v>216</v>
      </c>
      <c r="I190" s="116">
        <v>2024</v>
      </c>
      <c r="J190" s="116">
        <v>186</v>
      </c>
      <c r="K190" s="469">
        <f t="shared" si="59"/>
        <v>281.44809433889549</v>
      </c>
      <c r="L190" s="116"/>
      <c r="M190" s="440">
        <f t="shared" si="60"/>
        <v>271.923</v>
      </c>
      <c r="O190" s="881"/>
      <c r="P190" s="444">
        <v>186</v>
      </c>
      <c r="Q190" s="444">
        <f t="shared" si="44"/>
        <v>166.05045411257089</v>
      </c>
      <c r="R190" s="116">
        <f t="shared" si="63"/>
        <v>1.182875616E-5</v>
      </c>
      <c r="S190" s="458">
        <f t="shared" si="61"/>
        <v>136.48438576703577</v>
      </c>
      <c r="T190" s="450">
        <f t="shared" si="62"/>
        <v>335.56192346341078</v>
      </c>
    </row>
    <row r="191" spans="1:20" x14ac:dyDescent="0.25">
      <c r="A191" s="298" t="s">
        <v>217</v>
      </c>
      <c r="B191" s="116">
        <v>2024</v>
      </c>
      <c r="C191" s="116">
        <v>187</v>
      </c>
      <c r="D191" s="458">
        <f t="shared" si="57"/>
        <v>121.28492388520607</v>
      </c>
      <c r="E191" s="116"/>
      <c r="F191" s="468">
        <f t="shared" si="58"/>
        <v>121.095</v>
      </c>
      <c r="H191" s="298" t="s">
        <v>217</v>
      </c>
      <c r="I191" s="116">
        <v>2024</v>
      </c>
      <c r="J191" s="116">
        <v>187</v>
      </c>
      <c r="K191" s="469">
        <f t="shared" si="59"/>
        <v>281.88644446968897</v>
      </c>
      <c r="L191" s="116"/>
      <c r="M191" s="440">
        <f t="shared" si="60"/>
        <v>272.23349999999999</v>
      </c>
      <c r="O191" s="881"/>
      <c r="P191" s="444">
        <v>187</v>
      </c>
      <c r="Q191" s="444">
        <f t="shared" si="44"/>
        <v>166.05045411257089</v>
      </c>
      <c r="R191" s="116">
        <f t="shared" si="63"/>
        <v>1.182875616E-5</v>
      </c>
      <c r="S191" s="458">
        <f t="shared" si="61"/>
        <v>136.48438576703577</v>
      </c>
      <c r="T191" s="450">
        <f t="shared" si="62"/>
        <v>335.56192346341078</v>
      </c>
    </row>
    <row r="192" spans="1:20" x14ac:dyDescent="0.25">
      <c r="A192" s="298" t="s">
        <v>218</v>
      </c>
      <c r="B192" s="116">
        <v>2024</v>
      </c>
      <c r="C192" s="116">
        <v>188</v>
      </c>
      <c r="D192" s="458">
        <f t="shared" si="57"/>
        <v>121.41284694050523</v>
      </c>
      <c r="E192" s="116"/>
      <c r="F192" s="468">
        <f t="shared" si="58"/>
        <v>121.19999999999999</v>
      </c>
      <c r="H192" s="298" t="s">
        <v>218</v>
      </c>
      <c r="I192" s="116">
        <v>2024</v>
      </c>
      <c r="J192" s="116">
        <v>188</v>
      </c>
      <c r="K192" s="469">
        <f t="shared" si="59"/>
        <v>282.32547732259366</v>
      </c>
      <c r="L192" s="116"/>
      <c r="M192" s="440">
        <f t="shared" si="60"/>
        <v>272.54399999999998</v>
      </c>
      <c r="O192" s="881"/>
      <c r="P192" s="444">
        <v>188</v>
      </c>
      <c r="Q192" s="444">
        <f t="shared" si="44"/>
        <v>166.05045411257089</v>
      </c>
      <c r="R192" s="116">
        <f t="shared" si="63"/>
        <v>1.182875616E-5</v>
      </c>
      <c r="S192" s="458">
        <f t="shared" si="61"/>
        <v>136.48438576703577</v>
      </c>
      <c r="T192" s="450">
        <f t="shared" si="62"/>
        <v>335.56192346341078</v>
      </c>
    </row>
    <row r="193" spans="1:20" x14ac:dyDescent="0.25">
      <c r="A193" s="298" t="s">
        <v>219</v>
      </c>
      <c r="B193" s="116">
        <v>2024</v>
      </c>
      <c r="C193" s="116">
        <v>189</v>
      </c>
      <c r="D193" s="458">
        <f t="shared" si="57"/>
        <v>121.5409049203074</v>
      </c>
      <c r="E193" s="116"/>
      <c r="F193" s="468">
        <f t="shared" si="58"/>
        <v>121.30499999999999</v>
      </c>
      <c r="H193" s="298" t="s">
        <v>219</v>
      </c>
      <c r="I193" s="116">
        <v>2024</v>
      </c>
      <c r="J193" s="116">
        <v>189</v>
      </c>
      <c r="K193" s="469">
        <f t="shared" si="59"/>
        <v>282.76519396093647</v>
      </c>
      <c r="L193" s="116"/>
      <c r="M193" s="440">
        <f t="shared" si="60"/>
        <v>272.85449999999997</v>
      </c>
      <c r="O193" s="881"/>
      <c r="P193" s="444">
        <v>189</v>
      </c>
      <c r="Q193" s="444">
        <f t="shared" si="44"/>
        <v>166.05045411257089</v>
      </c>
      <c r="R193" s="116">
        <f t="shared" si="63"/>
        <v>1.182875616E-5</v>
      </c>
      <c r="S193" s="458">
        <f t="shared" si="61"/>
        <v>136.48438576703577</v>
      </c>
      <c r="T193" s="450">
        <f t="shared" si="62"/>
        <v>335.56192346341078</v>
      </c>
    </row>
    <row r="194" spans="1:20" x14ac:dyDescent="0.25">
      <c r="A194" s="298" t="s">
        <v>220</v>
      </c>
      <c r="B194" s="116">
        <v>2024</v>
      </c>
      <c r="C194" s="116">
        <v>190</v>
      </c>
      <c r="D194" s="458">
        <f t="shared" si="57"/>
        <v>121.66909796692173</v>
      </c>
      <c r="E194" s="116"/>
      <c r="F194" s="468">
        <f t="shared" si="58"/>
        <v>121.41</v>
      </c>
      <c r="H194" s="298" t="s">
        <v>220</v>
      </c>
      <c r="I194" s="116">
        <v>2024</v>
      </c>
      <c r="J194" s="116">
        <v>190</v>
      </c>
      <c r="K194" s="469">
        <f t="shared" si="59"/>
        <v>283.20559544970041</v>
      </c>
      <c r="L194" s="116"/>
      <c r="M194" s="440">
        <f t="shared" si="60"/>
        <v>273.16499999999996</v>
      </c>
      <c r="O194" s="881"/>
      <c r="P194" s="444">
        <v>190</v>
      </c>
      <c r="Q194" s="444">
        <f t="shared" si="44"/>
        <v>166.05045411257089</v>
      </c>
      <c r="R194" s="116">
        <f t="shared" si="63"/>
        <v>1.182875616E-5</v>
      </c>
      <c r="S194" s="458">
        <f t="shared" si="61"/>
        <v>136.48438576703577</v>
      </c>
      <c r="T194" s="450">
        <f t="shared" si="62"/>
        <v>335.56192346341078</v>
      </c>
    </row>
    <row r="195" spans="1:20" x14ac:dyDescent="0.25">
      <c r="A195" s="298" t="s">
        <v>221</v>
      </c>
      <c r="B195" s="116">
        <v>2024</v>
      </c>
      <c r="C195" s="116">
        <v>191</v>
      </c>
      <c r="D195" s="458">
        <f t="shared" si="57"/>
        <v>121.79742622280746</v>
      </c>
      <c r="E195" s="116"/>
      <c r="F195" s="468">
        <f t="shared" si="58"/>
        <v>121.51499999999999</v>
      </c>
      <c r="H195" s="298" t="s">
        <v>221</v>
      </c>
      <c r="I195" s="116">
        <v>2024</v>
      </c>
      <c r="J195" s="116">
        <v>191</v>
      </c>
      <c r="K195" s="469">
        <f t="shared" si="59"/>
        <v>283.64668285552716</v>
      </c>
      <c r="L195" s="116"/>
      <c r="M195" s="440">
        <f t="shared" si="60"/>
        <v>273.47550000000001</v>
      </c>
      <c r="O195" s="881"/>
      <c r="P195" s="444">
        <v>191</v>
      </c>
      <c r="Q195" s="444">
        <f t="shared" si="44"/>
        <v>166.05045411257089</v>
      </c>
      <c r="R195" s="116">
        <f t="shared" si="63"/>
        <v>1.182875616E-5</v>
      </c>
      <c r="S195" s="458">
        <f t="shared" si="61"/>
        <v>136.48438576703577</v>
      </c>
      <c r="T195" s="450">
        <f t="shared" si="62"/>
        <v>335.56192346341078</v>
      </c>
    </row>
    <row r="196" spans="1:20" x14ac:dyDescent="0.25">
      <c r="A196" s="298" t="s">
        <v>222</v>
      </c>
      <c r="B196" s="116">
        <v>2024</v>
      </c>
      <c r="C196" s="116">
        <v>192</v>
      </c>
      <c r="D196" s="458">
        <f t="shared" si="57"/>
        <v>121.92588983057411</v>
      </c>
      <c r="E196" s="116"/>
      <c r="F196" s="468">
        <f t="shared" si="58"/>
        <v>121.61999999999999</v>
      </c>
      <c r="H196" s="298" t="s">
        <v>222</v>
      </c>
      <c r="I196" s="116">
        <v>2024</v>
      </c>
      <c r="J196" s="116">
        <v>192</v>
      </c>
      <c r="K196" s="469">
        <f t="shared" si="59"/>
        <v>284.08845724671966</v>
      </c>
      <c r="L196" s="116"/>
      <c r="M196" s="440">
        <f t="shared" si="60"/>
        <v>273.786</v>
      </c>
      <c r="O196" s="881"/>
      <c r="P196" s="444">
        <v>192</v>
      </c>
      <c r="Q196" s="444">
        <f t="shared" si="44"/>
        <v>166.05045411257089</v>
      </c>
      <c r="R196" s="116">
        <f t="shared" si="63"/>
        <v>1.182875616E-5</v>
      </c>
      <c r="S196" s="458">
        <f t="shared" si="61"/>
        <v>136.48438576703577</v>
      </c>
      <c r="T196" s="450">
        <f t="shared" si="62"/>
        <v>335.56192346341078</v>
      </c>
    </row>
    <row r="197" spans="1:20" x14ac:dyDescent="0.25">
      <c r="A197" s="298" t="s">
        <v>211</v>
      </c>
      <c r="B197" s="116">
        <v>2025</v>
      </c>
      <c r="C197" s="116">
        <v>193</v>
      </c>
      <c r="D197" s="458">
        <f t="shared" si="57"/>
        <v>122.05448893298158</v>
      </c>
      <c r="E197" s="116"/>
      <c r="F197" s="468">
        <f t="shared" si="58"/>
        <v>121.72499999999999</v>
      </c>
      <c r="H197" s="298" t="s">
        <v>211</v>
      </c>
      <c r="I197" s="116">
        <v>2025</v>
      </c>
      <c r="J197" s="116">
        <v>193</v>
      </c>
      <c r="K197" s="469">
        <f t="shared" si="59"/>
        <v>284.53091969324475</v>
      </c>
      <c r="L197" s="116"/>
      <c r="M197" s="440">
        <f t="shared" si="60"/>
        <v>274.09649999999999</v>
      </c>
      <c r="O197" s="881">
        <v>17</v>
      </c>
      <c r="P197" s="444">
        <v>193</v>
      </c>
      <c r="Q197" s="444">
        <f t="shared" si="44"/>
        <v>167.95892220815165</v>
      </c>
      <c r="R197" s="116">
        <f>'Análisis Econ CCGT Nuevo'!G42</f>
        <v>1.190458152E-5</v>
      </c>
      <c r="S197" s="458">
        <f>$D$315</f>
        <v>138.22189499571857</v>
      </c>
      <c r="T197" s="450">
        <f>$K$315</f>
        <v>341.88750346433631</v>
      </c>
    </row>
    <row r="198" spans="1:20" x14ac:dyDescent="0.25">
      <c r="A198" s="298" t="s">
        <v>212</v>
      </c>
      <c r="B198" s="116">
        <v>2025</v>
      </c>
      <c r="C198" s="116">
        <v>194</v>
      </c>
      <c r="D198" s="458">
        <f t="shared" si="57"/>
        <v>122.18322367294039</v>
      </c>
      <c r="E198" s="116"/>
      <c r="F198" s="468">
        <f t="shared" si="58"/>
        <v>121.83</v>
      </c>
      <c r="H198" s="298" t="s">
        <v>212</v>
      </c>
      <c r="I198" s="116">
        <v>2025</v>
      </c>
      <c r="J198" s="116">
        <v>194</v>
      </c>
      <c r="K198" s="469">
        <f t="shared" si="59"/>
        <v>284.97407126673573</v>
      </c>
      <c r="L198" s="116"/>
      <c r="M198" s="440">
        <f t="shared" si="60"/>
        <v>274.40699999999998</v>
      </c>
      <c r="O198" s="881"/>
      <c r="P198" s="444">
        <v>194</v>
      </c>
      <c r="Q198" s="444">
        <f t="shared" ref="Q198:Q208" si="64">$Q$2*R198*1000+$S$2*S198/$P$1+$U$1*T198/$R$1</f>
        <v>167.95892220815165</v>
      </c>
      <c r="R198" s="116">
        <f>R197</f>
        <v>1.190458152E-5</v>
      </c>
      <c r="S198" s="458">
        <f t="shared" ref="S198:S208" si="65">$D$315</f>
        <v>138.22189499571857</v>
      </c>
      <c r="T198" s="450">
        <f t="shared" ref="T198:T208" si="66">$K$315</f>
        <v>341.88750346433631</v>
      </c>
    </row>
    <row r="199" spans="1:20" x14ac:dyDescent="0.25">
      <c r="A199" s="298" t="s">
        <v>213</v>
      </c>
      <c r="B199" s="116">
        <v>2025</v>
      </c>
      <c r="C199" s="116">
        <v>195</v>
      </c>
      <c r="D199" s="458">
        <f t="shared" si="57"/>
        <v>122.31209419351174</v>
      </c>
      <c r="E199" s="116"/>
      <c r="F199" s="468">
        <f t="shared" si="58"/>
        <v>121.93499999999999</v>
      </c>
      <c r="H199" s="298" t="s">
        <v>213</v>
      </c>
      <c r="I199" s="116">
        <v>2025</v>
      </c>
      <c r="J199" s="116">
        <v>195</v>
      </c>
      <c r="K199" s="469">
        <f t="shared" si="59"/>
        <v>285.41791304049497</v>
      </c>
      <c r="L199" s="116"/>
      <c r="M199" s="440">
        <f t="shared" si="60"/>
        <v>274.71749999999997</v>
      </c>
      <c r="O199" s="881"/>
      <c r="P199" s="444">
        <v>195</v>
      </c>
      <c r="Q199" s="444">
        <f t="shared" si="64"/>
        <v>167.95892220815165</v>
      </c>
      <c r="R199" s="116">
        <f t="shared" ref="R199:R208" si="67">R198</f>
        <v>1.190458152E-5</v>
      </c>
      <c r="S199" s="458">
        <f t="shared" si="65"/>
        <v>138.22189499571857</v>
      </c>
      <c r="T199" s="450">
        <f t="shared" si="66"/>
        <v>341.88750346433631</v>
      </c>
    </row>
    <row r="200" spans="1:20" x14ac:dyDescent="0.25">
      <c r="A200" s="298" t="s">
        <v>214</v>
      </c>
      <c r="B200" s="116">
        <v>2025</v>
      </c>
      <c r="C200" s="116">
        <v>196</v>
      </c>
      <c r="D200" s="458">
        <f t="shared" si="57"/>
        <v>122.44110063790777</v>
      </c>
      <c r="E200" s="116"/>
      <c r="F200" s="468">
        <f t="shared" si="58"/>
        <v>122.03999999999999</v>
      </c>
      <c r="H200" s="298" t="s">
        <v>214</v>
      </c>
      <c r="I200" s="116">
        <v>2025</v>
      </c>
      <c r="J200" s="116">
        <v>196</v>
      </c>
      <c r="K200" s="469">
        <f t="shared" si="59"/>
        <v>285.86244608949636</v>
      </c>
      <c r="L200" s="116"/>
      <c r="M200" s="440">
        <f t="shared" si="60"/>
        <v>275.02799999999996</v>
      </c>
      <c r="O200" s="881"/>
      <c r="P200" s="444">
        <v>196</v>
      </c>
      <c r="Q200" s="444">
        <f t="shared" si="64"/>
        <v>167.95892220815165</v>
      </c>
      <c r="R200" s="116">
        <f t="shared" si="67"/>
        <v>1.190458152E-5</v>
      </c>
      <c r="S200" s="458">
        <f t="shared" si="65"/>
        <v>138.22189499571857</v>
      </c>
      <c r="T200" s="450">
        <f t="shared" si="66"/>
        <v>341.88750346433631</v>
      </c>
    </row>
    <row r="201" spans="1:20" x14ac:dyDescent="0.25">
      <c r="A201" s="298" t="s">
        <v>215</v>
      </c>
      <c r="B201" s="116">
        <v>2025</v>
      </c>
      <c r="C201" s="116">
        <v>197</v>
      </c>
      <c r="D201" s="458">
        <f t="shared" si="57"/>
        <v>122.57024314949163</v>
      </c>
      <c r="E201" s="116"/>
      <c r="F201" s="468">
        <f t="shared" si="58"/>
        <v>122.145</v>
      </c>
      <c r="H201" s="298" t="s">
        <v>215</v>
      </c>
      <c r="I201" s="116">
        <v>2025</v>
      </c>
      <c r="J201" s="116">
        <v>197</v>
      </c>
      <c r="K201" s="469">
        <f t="shared" si="59"/>
        <v>286.3076714903882</v>
      </c>
      <c r="L201" s="116"/>
      <c r="M201" s="440">
        <f t="shared" si="60"/>
        <v>275.33850000000001</v>
      </c>
      <c r="O201" s="881"/>
      <c r="P201" s="444">
        <v>197</v>
      </c>
      <c r="Q201" s="444">
        <f t="shared" si="64"/>
        <v>167.95892220815165</v>
      </c>
      <c r="R201" s="116">
        <f t="shared" si="67"/>
        <v>1.190458152E-5</v>
      </c>
      <c r="S201" s="458">
        <f t="shared" si="65"/>
        <v>138.22189499571857</v>
      </c>
      <c r="T201" s="450">
        <f t="shared" si="66"/>
        <v>341.88750346433631</v>
      </c>
    </row>
    <row r="202" spans="1:20" x14ac:dyDescent="0.25">
      <c r="A202" s="298" t="s">
        <v>216</v>
      </c>
      <c r="B202" s="116">
        <v>2025</v>
      </c>
      <c r="C202" s="116">
        <v>198</v>
      </c>
      <c r="D202" s="458">
        <f t="shared" si="57"/>
        <v>122.69952187177772</v>
      </c>
      <c r="E202" s="116"/>
      <c r="F202" s="468">
        <f t="shared" si="58"/>
        <v>122.25</v>
      </c>
      <c r="H202" s="298" t="s">
        <v>216</v>
      </c>
      <c r="I202" s="116">
        <v>2025</v>
      </c>
      <c r="J202" s="116">
        <v>198</v>
      </c>
      <c r="K202" s="469">
        <f t="shared" si="59"/>
        <v>286.75359032149555</v>
      </c>
      <c r="L202" s="116"/>
      <c r="M202" s="440">
        <f t="shared" si="60"/>
        <v>275.649</v>
      </c>
      <c r="O202" s="881"/>
      <c r="P202" s="444">
        <v>198</v>
      </c>
      <c r="Q202" s="444">
        <f t="shared" si="64"/>
        <v>167.95892220815165</v>
      </c>
      <c r="R202" s="116">
        <f t="shared" si="67"/>
        <v>1.190458152E-5</v>
      </c>
      <c r="S202" s="458">
        <f t="shared" si="65"/>
        <v>138.22189499571857</v>
      </c>
      <c r="T202" s="450">
        <f t="shared" si="66"/>
        <v>341.88750346433631</v>
      </c>
    </row>
    <row r="203" spans="1:20" x14ac:dyDescent="0.25">
      <c r="A203" s="298" t="s">
        <v>217</v>
      </c>
      <c r="B203" s="116">
        <v>2025</v>
      </c>
      <c r="C203" s="116">
        <v>199</v>
      </c>
      <c r="D203" s="458">
        <f t="shared" si="57"/>
        <v>122.82893694843177</v>
      </c>
      <c r="E203" s="116"/>
      <c r="F203" s="468">
        <f t="shared" si="58"/>
        <v>122.35499999999999</v>
      </c>
      <c r="H203" s="298" t="s">
        <v>217</v>
      </c>
      <c r="I203" s="116">
        <v>2025</v>
      </c>
      <c r="J203" s="116">
        <v>199</v>
      </c>
      <c r="K203" s="469">
        <f t="shared" si="59"/>
        <v>287.20020366282296</v>
      </c>
      <c r="L203" s="116"/>
      <c r="M203" s="440">
        <f t="shared" si="60"/>
        <v>275.95949999999999</v>
      </c>
      <c r="O203" s="881"/>
      <c r="P203" s="444">
        <v>199</v>
      </c>
      <c r="Q203" s="444">
        <f t="shared" si="64"/>
        <v>167.95892220815165</v>
      </c>
      <c r="R203" s="116">
        <f t="shared" si="67"/>
        <v>1.190458152E-5</v>
      </c>
      <c r="S203" s="458">
        <f t="shared" si="65"/>
        <v>138.22189499571857</v>
      </c>
      <c r="T203" s="450">
        <f t="shared" si="66"/>
        <v>341.88750346433631</v>
      </c>
    </row>
    <row r="204" spans="1:20" x14ac:dyDescent="0.25">
      <c r="A204" s="298" t="s">
        <v>218</v>
      </c>
      <c r="B204" s="116">
        <v>2025</v>
      </c>
      <c r="C204" s="116">
        <v>200</v>
      </c>
      <c r="D204" s="458">
        <f t="shared" si="57"/>
        <v>122.95848852327107</v>
      </c>
      <c r="E204" s="116"/>
      <c r="F204" s="468">
        <f t="shared" si="58"/>
        <v>122.46</v>
      </c>
      <c r="H204" s="298" t="s">
        <v>218</v>
      </c>
      <c r="I204" s="116">
        <v>2025</v>
      </c>
      <c r="J204" s="116">
        <v>200</v>
      </c>
      <c r="K204" s="469">
        <f t="shared" si="59"/>
        <v>287.64751259605708</v>
      </c>
      <c r="L204" s="116"/>
      <c r="M204" s="440">
        <f t="shared" si="60"/>
        <v>276.27</v>
      </c>
      <c r="O204" s="881"/>
      <c r="P204" s="444">
        <v>200</v>
      </c>
      <c r="Q204" s="444">
        <f t="shared" si="64"/>
        <v>167.95892220815165</v>
      </c>
      <c r="R204" s="116">
        <f t="shared" si="67"/>
        <v>1.190458152E-5</v>
      </c>
      <c r="S204" s="458">
        <f t="shared" si="65"/>
        <v>138.22189499571857</v>
      </c>
      <c r="T204" s="450">
        <f t="shared" si="66"/>
        <v>341.88750346433631</v>
      </c>
    </row>
    <row r="205" spans="1:20" x14ac:dyDescent="0.25">
      <c r="A205" s="298" t="s">
        <v>219</v>
      </c>
      <c r="B205" s="116">
        <v>2025</v>
      </c>
      <c r="C205" s="116">
        <v>201</v>
      </c>
      <c r="D205" s="458">
        <f t="shared" si="57"/>
        <v>123.08817674026457</v>
      </c>
      <c r="E205" s="116"/>
      <c r="F205" s="468">
        <f t="shared" si="58"/>
        <v>122.565</v>
      </c>
      <c r="H205" s="298" t="s">
        <v>219</v>
      </c>
      <c r="I205" s="116">
        <v>2025</v>
      </c>
      <c r="J205" s="116">
        <v>201</v>
      </c>
      <c r="K205" s="469">
        <f t="shared" si="59"/>
        <v>288.09551820456932</v>
      </c>
      <c r="L205" s="116"/>
      <c r="M205" s="440">
        <f t="shared" si="60"/>
        <v>276.58049999999997</v>
      </c>
      <c r="O205" s="881"/>
      <c r="P205" s="444">
        <v>201</v>
      </c>
      <c r="Q205" s="444">
        <f t="shared" si="64"/>
        <v>167.95892220815165</v>
      </c>
      <c r="R205" s="116">
        <f t="shared" si="67"/>
        <v>1.190458152E-5</v>
      </c>
      <c r="S205" s="458">
        <f t="shared" si="65"/>
        <v>138.22189499571857</v>
      </c>
      <c r="T205" s="450">
        <f t="shared" si="66"/>
        <v>341.88750346433631</v>
      </c>
    </row>
    <row r="206" spans="1:20" x14ac:dyDescent="0.25">
      <c r="A206" s="298" t="s">
        <v>220</v>
      </c>
      <c r="B206" s="116">
        <v>2025</v>
      </c>
      <c r="C206" s="116">
        <v>202</v>
      </c>
      <c r="D206" s="458">
        <f t="shared" si="57"/>
        <v>123.21800174353308</v>
      </c>
      <c r="E206" s="116"/>
      <c r="F206" s="468">
        <f t="shared" si="58"/>
        <v>122.66999999999999</v>
      </c>
      <c r="H206" s="298" t="s">
        <v>220</v>
      </c>
      <c r="I206" s="116">
        <v>2025</v>
      </c>
      <c r="J206" s="116">
        <v>202</v>
      </c>
      <c r="K206" s="469">
        <f t="shared" si="59"/>
        <v>288.54422157341833</v>
      </c>
      <c r="L206" s="116"/>
      <c r="M206" s="440">
        <f t="shared" si="60"/>
        <v>276.89099999999996</v>
      </c>
      <c r="O206" s="881"/>
      <c r="P206" s="444">
        <v>202</v>
      </c>
      <c r="Q206" s="444">
        <f t="shared" si="64"/>
        <v>167.95892220815165</v>
      </c>
      <c r="R206" s="116">
        <f t="shared" si="67"/>
        <v>1.190458152E-5</v>
      </c>
      <c r="S206" s="458">
        <f t="shared" si="65"/>
        <v>138.22189499571857</v>
      </c>
      <c r="T206" s="450">
        <f t="shared" si="66"/>
        <v>341.88750346433631</v>
      </c>
    </row>
    <row r="207" spans="1:20" x14ac:dyDescent="0.25">
      <c r="A207" s="298" t="s">
        <v>221</v>
      </c>
      <c r="B207" s="116">
        <v>2025</v>
      </c>
      <c r="C207" s="116">
        <v>203</v>
      </c>
      <c r="D207" s="458">
        <f t="shared" si="57"/>
        <v>123.34796367734944</v>
      </c>
      <c r="E207" s="116"/>
      <c r="F207" s="468">
        <f t="shared" si="58"/>
        <v>122.77499999999999</v>
      </c>
      <c r="H207" s="298" t="s">
        <v>221</v>
      </c>
      <c r="I207" s="116">
        <v>2025</v>
      </c>
      <c r="J207" s="116">
        <v>203</v>
      </c>
      <c r="K207" s="469">
        <f t="shared" si="59"/>
        <v>288.99362378935274</v>
      </c>
      <c r="L207" s="116"/>
      <c r="M207" s="440">
        <f t="shared" si="60"/>
        <v>277.20150000000001</v>
      </c>
      <c r="O207" s="881"/>
      <c r="P207" s="444">
        <v>203</v>
      </c>
      <c r="Q207" s="444">
        <f t="shared" si="64"/>
        <v>167.95892220815165</v>
      </c>
      <c r="R207" s="116">
        <f t="shared" si="67"/>
        <v>1.190458152E-5</v>
      </c>
      <c r="S207" s="458">
        <f t="shared" si="65"/>
        <v>138.22189499571857</v>
      </c>
      <c r="T207" s="450">
        <f t="shared" si="66"/>
        <v>341.88750346433631</v>
      </c>
    </row>
    <row r="208" spans="1:20" ht="15.75" thickBot="1" x14ac:dyDescent="0.3">
      <c r="A208" s="298" t="s">
        <v>222</v>
      </c>
      <c r="B208" s="116">
        <v>2025</v>
      </c>
      <c r="C208" s="116">
        <v>204</v>
      </c>
      <c r="D208" s="458">
        <f t="shared" si="57"/>
        <v>123.47806268613863</v>
      </c>
      <c r="E208" s="116"/>
      <c r="F208" s="468">
        <f t="shared" si="58"/>
        <v>122.88</v>
      </c>
      <c r="H208" s="298" t="s">
        <v>222</v>
      </c>
      <c r="I208" s="116">
        <v>2025</v>
      </c>
      <c r="J208" s="116">
        <v>204</v>
      </c>
      <c r="K208" s="469">
        <f t="shared" si="59"/>
        <v>289.44372594081381</v>
      </c>
      <c r="L208" s="116"/>
      <c r="M208" s="440">
        <f t="shared" si="60"/>
        <v>277.512</v>
      </c>
      <c r="O208" s="882"/>
      <c r="P208" s="470">
        <v>204</v>
      </c>
      <c r="Q208" s="470">
        <f t="shared" si="64"/>
        <v>167.95892220815165</v>
      </c>
      <c r="R208" s="392">
        <f t="shared" si="67"/>
        <v>1.190458152E-5</v>
      </c>
      <c r="S208" s="471">
        <f t="shared" si="65"/>
        <v>138.22189499571857</v>
      </c>
      <c r="T208" s="457">
        <f t="shared" si="66"/>
        <v>341.88750346433631</v>
      </c>
    </row>
    <row r="209" spans="1:13" x14ac:dyDescent="0.25">
      <c r="A209" s="298" t="s">
        <v>211</v>
      </c>
      <c r="B209" s="116">
        <v>2026</v>
      </c>
      <c r="C209" s="116">
        <v>205</v>
      </c>
      <c r="D209" s="458">
        <f t="shared" si="57"/>
        <v>123.60829891447797</v>
      </c>
      <c r="E209" s="116"/>
      <c r="F209" s="468">
        <f t="shared" si="58"/>
        <v>122.98499999999999</v>
      </c>
      <c r="H209" s="298" t="s">
        <v>211</v>
      </c>
      <c r="I209" s="116">
        <v>2026</v>
      </c>
      <c r="J209" s="116">
        <v>205</v>
      </c>
      <c r="K209" s="469">
        <f t="shared" si="59"/>
        <v>289.89452911793796</v>
      </c>
      <c r="L209" s="116"/>
      <c r="M209" s="440">
        <f t="shared" si="60"/>
        <v>277.82249999999999</v>
      </c>
    </row>
    <row r="210" spans="1:13" x14ac:dyDescent="0.25">
      <c r="A210" s="298" t="s">
        <v>212</v>
      </c>
      <c r="B210" s="116">
        <v>2026</v>
      </c>
      <c r="C210" s="116">
        <v>206</v>
      </c>
      <c r="D210" s="458">
        <f t="shared" si="57"/>
        <v>123.73867250709726</v>
      </c>
      <c r="E210" s="116"/>
      <c r="F210" s="468">
        <f t="shared" si="58"/>
        <v>123.08999999999999</v>
      </c>
      <c r="H210" s="298" t="s">
        <v>212</v>
      </c>
      <c r="I210" s="116">
        <v>2026</v>
      </c>
      <c r="J210" s="116">
        <v>206</v>
      </c>
      <c r="K210" s="469">
        <f t="shared" si="59"/>
        <v>290.34603441255956</v>
      </c>
      <c r="L210" s="116"/>
      <c r="M210" s="440">
        <f t="shared" si="60"/>
        <v>278.13299999999998</v>
      </c>
    </row>
    <row r="211" spans="1:13" x14ac:dyDescent="0.25">
      <c r="A211" s="298" t="s">
        <v>213</v>
      </c>
      <c r="B211" s="116">
        <v>2026</v>
      </c>
      <c r="C211" s="116">
        <v>207</v>
      </c>
      <c r="D211" s="458">
        <f t="shared" si="57"/>
        <v>123.86918360887898</v>
      </c>
      <c r="E211" s="116"/>
      <c r="F211" s="468">
        <f t="shared" si="58"/>
        <v>123.19499999999999</v>
      </c>
      <c r="H211" s="298" t="s">
        <v>213</v>
      </c>
      <c r="I211" s="116">
        <v>2026</v>
      </c>
      <c r="J211" s="116">
        <v>207</v>
      </c>
      <c r="K211" s="469">
        <f t="shared" si="59"/>
        <v>290.79824291821342</v>
      </c>
      <c r="L211" s="116"/>
      <c r="M211" s="440">
        <f t="shared" si="60"/>
        <v>278.44349999999997</v>
      </c>
    </row>
    <row r="212" spans="1:13" x14ac:dyDescent="0.25">
      <c r="A212" s="298" t="s">
        <v>214</v>
      </c>
      <c r="B212" s="116">
        <v>2026</v>
      </c>
      <c r="C212" s="116">
        <v>208</v>
      </c>
      <c r="D212" s="458">
        <f t="shared" si="57"/>
        <v>123.99983236485841</v>
      </c>
      <c r="E212" s="116"/>
      <c r="F212" s="468">
        <f t="shared" si="58"/>
        <v>123.3</v>
      </c>
      <c r="H212" s="298" t="s">
        <v>214</v>
      </c>
      <c r="I212" s="116">
        <v>2026</v>
      </c>
      <c r="J212" s="116">
        <v>208</v>
      </c>
      <c r="K212" s="469">
        <f t="shared" si="59"/>
        <v>291.25115573013755</v>
      </c>
      <c r="L212" s="116"/>
      <c r="M212" s="440">
        <f t="shared" si="60"/>
        <v>278.75400000000002</v>
      </c>
    </row>
    <row r="213" spans="1:13" x14ac:dyDescent="0.25">
      <c r="A213" s="298" t="s">
        <v>215</v>
      </c>
      <c r="B213" s="116">
        <v>2026</v>
      </c>
      <c r="C213" s="116">
        <v>209</v>
      </c>
      <c r="D213" s="458">
        <f t="shared" si="57"/>
        <v>124.13061892022378</v>
      </c>
      <c r="E213" s="116"/>
      <c r="F213" s="468">
        <f t="shared" si="58"/>
        <v>123.405</v>
      </c>
      <c r="H213" s="298" t="s">
        <v>215</v>
      </c>
      <c r="I213" s="116">
        <v>2026</v>
      </c>
      <c r="J213" s="116">
        <v>209</v>
      </c>
      <c r="K213" s="469">
        <f t="shared" si="59"/>
        <v>291.70477394527575</v>
      </c>
      <c r="L213" s="116"/>
      <c r="M213" s="440">
        <f t="shared" si="60"/>
        <v>279.06449999999995</v>
      </c>
    </row>
    <row r="214" spans="1:13" x14ac:dyDescent="0.25">
      <c r="A214" s="298" t="s">
        <v>216</v>
      </c>
      <c r="B214" s="116">
        <v>2026</v>
      </c>
      <c r="C214" s="116">
        <v>210</v>
      </c>
      <c r="D214" s="458">
        <f t="shared" si="57"/>
        <v>124.26154342031649</v>
      </c>
      <c r="E214" s="116"/>
      <c r="F214" s="468">
        <f t="shared" si="58"/>
        <v>123.50999999999999</v>
      </c>
      <c r="H214" s="298" t="s">
        <v>216</v>
      </c>
      <c r="I214" s="116">
        <v>2026</v>
      </c>
      <c r="J214" s="116">
        <v>210</v>
      </c>
      <c r="K214" s="469">
        <f t="shared" si="59"/>
        <v>292.15909866228031</v>
      </c>
      <c r="L214" s="116"/>
      <c r="M214" s="440">
        <f t="shared" si="60"/>
        <v>279.375</v>
      </c>
    </row>
    <row r="215" spans="1:13" x14ac:dyDescent="0.25">
      <c r="A215" s="298" t="s">
        <v>217</v>
      </c>
      <c r="B215" s="116">
        <v>2026</v>
      </c>
      <c r="C215" s="116">
        <v>211</v>
      </c>
      <c r="D215" s="458">
        <f t="shared" si="57"/>
        <v>124.39260601063118</v>
      </c>
      <c r="E215" s="116"/>
      <c r="F215" s="468">
        <f t="shared" si="58"/>
        <v>123.61499999999999</v>
      </c>
      <c r="H215" s="298" t="s">
        <v>217</v>
      </c>
      <c r="I215" s="116">
        <v>2026</v>
      </c>
      <c r="J215" s="116">
        <v>211</v>
      </c>
      <c r="K215" s="469">
        <f t="shared" si="59"/>
        <v>292.61413098151468</v>
      </c>
      <c r="L215" s="116"/>
      <c r="M215" s="440">
        <f t="shared" si="60"/>
        <v>279.68549999999999</v>
      </c>
    </row>
    <row r="216" spans="1:13" x14ac:dyDescent="0.25">
      <c r="A216" s="298" t="s">
        <v>218</v>
      </c>
      <c r="B216" s="116">
        <v>2026</v>
      </c>
      <c r="C216" s="116">
        <v>212</v>
      </c>
      <c r="D216" s="458">
        <f t="shared" si="57"/>
        <v>124.52380683681604</v>
      </c>
      <c r="E216" s="116"/>
      <c r="F216" s="468">
        <f t="shared" si="58"/>
        <v>123.72</v>
      </c>
      <c r="H216" s="298" t="s">
        <v>218</v>
      </c>
      <c r="I216" s="116">
        <v>2026</v>
      </c>
      <c r="J216" s="116">
        <v>212</v>
      </c>
      <c r="K216" s="469">
        <f t="shared" si="59"/>
        <v>293.06987200505603</v>
      </c>
      <c r="L216" s="116"/>
      <c r="M216" s="440">
        <f t="shared" si="60"/>
        <v>279.99599999999998</v>
      </c>
    </row>
    <row r="217" spans="1:13" x14ac:dyDescent="0.25">
      <c r="A217" s="298" t="s">
        <v>219</v>
      </c>
      <c r="B217" s="116">
        <v>2026</v>
      </c>
      <c r="C217" s="116">
        <v>213</v>
      </c>
      <c r="D217" s="458">
        <f t="shared" si="57"/>
        <v>124.65514604467278</v>
      </c>
      <c r="E217" s="116"/>
      <c r="F217" s="468">
        <f t="shared" si="58"/>
        <v>123.82499999999999</v>
      </c>
      <c r="H217" s="298" t="s">
        <v>219</v>
      </c>
      <c r="I217" s="116">
        <v>2026</v>
      </c>
      <c r="J217" s="116">
        <v>213</v>
      </c>
      <c r="K217" s="469">
        <f t="shared" si="59"/>
        <v>293.52632283669806</v>
      </c>
      <c r="L217" s="116"/>
      <c r="M217" s="440">
        <f t="shared" si="60"/>
        <v>280.30649999999997</v>
      </c>
    </row>
    <row r="218" spans="1:13" x14ac:dyDescent="0.25">
      <c r="A218" s="298" t="s">
        <v>220</v>
      </c>
      <c r="B218" s="116">
        <v>2026</v>
      </c>
      <c r="C218" s="116">
        <v>214</v>
      </c>
      <c r="D218" s="458">
        <f t="shared" si="57"/>
        <v>124.78662378015696</v>
      </c>
      <c r="E218" s="116"/>
      <c r="F218" s="468">
        <f t="shared" si="58"/>
        <v>123.92999999999999</v>
      </c>
      <c r="H218" s="298" t="s">
        <v>220</v>
      </c>
      <c r="I218" s="116">
        <v>2026</v>
      </c>
      <c r="J218" s="116">
        <v>214</v>
      </c>
      <c r="K218" s="469">
        <f t="shared" si="59"/>
        <v>293.98348458195352</v>
      </c>
      <c r="L218" s="116"/>
      <c r="M218" s="440">
        <f t="shared" si="60"/>
        <v>280.61699999999996</v>
      </c>
    </row>
    <row r="219" spans="1:13" x14ac:dyDescent="0.25">
      <c r="A219" s="298" t="s">
        <v>221</v>
      </c>
      <c r="B219" s="116">
        <v>2026</v>
      </c>
      <c r="C219" s="116">
        <v>215</v>
      </c>
      <c r="D219" s="458">
        <f t="shared" si="57"/>
        <v>124.91824018937805</v>
      </c>
      <c r="E219" s="116"/>
      <c r="F219" s="468">
        <f t="shared" si="58"/>
        <v>124.035</v>
      </c>
      <c r="H219" s="298" t="s">
        <v>221</v>
      </c>
      <c r="I219" s="116">
        <v>2026</v>
      </c>
      <c r="J219" s="116">
        <v>215</v>
      </c>
      <c r="K219" s="469">
        <f t="shared" si="59"/>
        <v>294.44135834805712</v>
      </c>
      <c r="L219" s="116"/>
      <c r="M219" s="440">
        <f t="shared" si="60"/>
        <v>280.92750000000001</v>
      </c>
    </row>
    <row r="220" spans="1:13" x14ac:dyDescent="0.25">
      <c r="A220" s="298" t="s">
        <v>222</v>
      </c>
      <c r="B220" s="116">
        <v>2026</v>
      </c>
      <c r="C220" s="116">
        <v>216</v>
      </c>
      <c r="D220" s="458">
        <f t="shared" si="57"/>
        <v>125.04999541859966</v>
      </c>
      <c r="E220" s="116"/>
      <c r="F220" s="468">
        <f t="shared" si="58"/>
        <v>124.13999999999999</v>
      </c>
      <c r="H220" s="298" t="s">
        <v>222</v>
      </c>
      <c r="I220" s="116">
        <v>2026</v>
      </c>
      <c r="J220" s="116">
        <v>216</v>
      </c>
      <c r="K220" s="469">
        <f t="shared" si="59"/>
        <v>294.89994524396792</v>
      </c>
      <c r="L220" s="116"/>
      <c r="M220" s="440">
        <f t="shared" si="60"/>
        <v>281.238</v>
      </c>
    </row>
    <row r="221" spans="1:13" x14ac:dyDescent="0.25">
      <c r="A221" s="298" t="s">
        <v>211</v>
      </c>
      <c r="B221" s="116">
        <v>2027</v>
      </c>
      <c r="C221" s="116">
        <v>217</v>
      </c>
      <c r="D221" s="458">
        <f t="shared" si="57"/>
        <v>125.18188961423964</v>
      </c>
      <c r="E221" s="116"/>
      <c r="F221" s="468">
        <f t="shared" si="58"/>
        <v>124.24499999999999</v>
      </c>
      <c r="H221" s="298" t="s">
        <v>211</v>
      </c>
      <c r="I221" s="116">
        <v>2027</v>
      </c>
      <c r="J221" s="116">
        <v>217</v>
      </c>
      <c r="K221" s="469">
        <f t="shared" si="59"/>
        <v>295.35924638037227</v>
      </c>
      <c r="L221" s="116"/>
      <c r="M221" s="440">
        <f t="shared" si="60"/>
        <v>281.54849999999999</v>
      </c>
    </row>
    <row r="222" spans="1:13" x14ac:dyDescent="0.25">
      <c r="A222" s="298" t="s">
        <v>212</v>
      </c>
      <c r="B222" s="116">
        <v>2027</v>
      </c>
      <c r="C222" s="116">
        <v>218</v>
      </c>
      <c r="D222" s="458">
        <f t="shared" si="57"/>
        <v>125.31392292287026</v>
      </c>
      <c r="E222" s="116"/>
      <c r="F222" s="468">
        <f t="shared" si="58"/>
        <v>124.35</v>
      </c>
      <c r="H222" s="298" t="s">
        <v>212</v>
      </c>
      <c r="I222" s="116">
        <v>2027</v>
      </c>
      <c r="J222" s="116">
        <v>218</v>
      </c>
      <c r="K222" s="469">
        <f t="shared" si="59"/>
        <v>295.81926286968633</v>
      </c>
      <c r="L222" s="116"/>
      <c r="M222" s="440">
        <f t="shared" si="60"/>
        <v>281.85899999999998</v>
      </c>
    </row>
    <row r="223" spans="1:13" x14ac:dyDescent="0.25">
      <c r="A223" s="298" t="s">
        <v>213</v>
      </c>
      <c r="B223" s="116">
        <v>2027</v>
      </c>
      <c r="C223" s="116">
        <v>219</v>
      </c>
      <c r="D223" s="458">
        <f t="shared" si="57"/>
        <v>125.44609549121841</v>
      </c>
      <c r="E223" s="116"/>
      <c r="F223" s="468">
        <f t="shared" si="58"/>
        <v>124.45499999999998</v>
      </c>
      <c r="H223" s="298" t="s">
        <v>213</v>
      </c>
      <c r="I223" s="116">
        <v>2027</v>
      </c>
      <c r="J223" s="116">
        <v>219</v>
      </c>
      <c r="K223" s="469">
        <f t="shared" si="59"/>
        <v>296.27999582605884</v>
      </c>
      <c r="L223" s="116"/>
      <c r="M223" s="440">
        <f t="shared" si="60"/>
        <v>282.16949999999997</v>
      </c>
    </row>
    <row r="224" spans="1:13" x14ac:dyDescent="0.25">
      <c r="A224" s="298" t="s">
        <v>214</v>
      </c>
      <c r="B224" s="116">
        <v>2027</v>
      </c>
      <c r="C224" s="116">
        <v>220</v>
      </c>
      <c r="D224" s="458">
        <f t="shared" si="57"/>
        <v>125.57840746616574</v>
      </c>
      <c r="E224" s="116"/>
      <c r="F224" s="468">
        <f t="shared" si="58"/>
        <v>124.55999999999999</v>
      </c>
      <c r="H224" s="298" t="s">
        <v>214</v>
      </c>
      <c r="I224" s="116">
        <v>2027</v>
      </c>
      <c r="J224" s="116">
        <v>220</v>
      </c>
      <c r="K224" s="469">
        <f t="shared" si="59"/>
        <v>296.7414463653738</v>
      </c>
      <c r="L224" s="116"/>
      <c r="M224" s="440">
        <f t="shared" si="60"/>
        <v>282.48</v>
      </c>
    </row>
    <row r="225" spans="1:24" x14ac:dyDescent="0.25">
      <c r="A225" s="298" t="s">
        <v>215</v>
      </c>
      <c r="B225" s="116">
        <v>2027</v>
      </c>
      <c r="C225" s="116">
        <v>221</v>
      </c>
      <c r="D225" s="458">
        <f t="shared" si="57"/>
        <v>125.7108589947488</v>
      </c>
      <c r="E225" s="116"/>
      <c r="F225" s="468">
        <f t="shared" si="58"/>
        <v>124.66499999999999</v>
      </c>
      <c r="H225" s="298" t="s">
        <v>215</v>
      </c>
      <c r="I225" s="116">
        <v>2027</v>
      </c>
      <c r="J225" s="116">
        <v>221</v>
      </c>
      <c r="K225" s="469">
        <f t="shared" si="59"/>
        <v>297.20361560525322</v>
      </c>
      <c r="L225" s="116"/>
      <c r="M225" s="440">
        <f t="shared" si="60"/>
        <v>282.79049999999995</v>
      </c>
    </row>
    <row r="226" spans="1:24" x14ac:dyDescent="0.25">
      <c r="A226" s="298" t="s">
        <v>216</v>
      </c>
      <c r="B226" s="116">
        <v>2027</v>
      </c>
      <c r="C226" s="116">
        <v>222</v>
      </c>
      <c r="D226" s="458">
        <f t="shared" si="57"/>
        <v>125.84345022415924</v>
      </c>
      <c r="E226" s="116"/>
      <c r="F226" s="468">
        <f t="shared" si="58"/>
        <v>124.77</v>
      </c>
      <c r="H226" s="298" t="s">
        <v>216</v>
      </c>
      <c r="I226" s="116">
        <v>2027</v>
      </c>
      <c r="J226" s="116">
        <v>222</v>
      </c>
      <c r="K226" s="469">
        <f t="shared" si="59"/>
        <v>297.66650466505973</v>
      </c>
      <c r="L226" s="116"/>
      <c r="M226" s="440">
        <f t="shared" si="60"/>
        <v>283.101</v>
      </c>
    </row>
    <row r="227" spans="1:24" x14ac:dyDescent="0.25">
      <c r="A227" s="298" t="s">
        <v>217</v>
      </c>
      <c r="B227" s="116">
        <v>2027</v>
      </c>
      <c r="C227" s="116">
        <v>223</v>
      </c>
      <c r="D227" s="458">
        <f t="shared" si="57"/>
        <v>125.97618130174395</v>
      </c>
      <c r="E227" s="116"/>
      <c r="F227" s="468">
        <f t="shared" si="58"/>
        <v>124.875</v>
      </c>
      <c r="H227" s="298" t="s">
        <v>217</v>
      </c>
      <c r="I227" s="116">
        <v>2027</v>
      </c>
      <c r="J227" s="116">
        <v>223</v>
      </c>
      <c r="K227" s="469">
        <f t="shared" si="59"/>
        <v>298.13011466589938</v>
      </c>
      <c r="L227" s="116"/>
      <c r="M227" s="440">
        <f t="shared" si="60"/>
        <v>283.41149999999999</v>
      </c>
    </row>
    <row r="228" spans="1:24" x14ac:dyDescent="0.25">
      <c r="A228" s="298" t="s">
        <v>218</v>
      </c>
      <c r="B228" s="116">
        <v>2027</v>
      </c>
      <c r="C228" s="116">
        <v>224</v>
      </c>
      <c r="D228" s="458">
        <f t="shared" si="57"/>
        <v>126.10905237500523</v>
      </c>
      <c r="E228" s="116"/>
      <c r="F228" s="468">
        <f t="shared" si="58"/>
        <v>124.97999999999999</v>
      </c>
      <c r="H228" s="298" t="s">
        <v>218</v>
      </c>
      <c r="I228" s="116">
        <v>2027</v>
      </c>
      <c r="J228" s="116">
        <v>224</v>
      </c>
      <c r="K228" s="469">
        <f t="shared" si="59"/>
        <v>298.59444673062433</v>
      </c>
      <c r="L228" s="116"/>
      <c r="M228" s="440">
        <f t="shared" si="60"/>
        <v>283.72199999999998</v>
      </c>
    </row>
    <row r="229" spans="1:24" x14ac:dyDescent="0.25">
      <c r="A229" s="298" t="s">
        <v>219</v>
      </c>
      <c r="B229" s="116">
        <v>2027</v>
      </c>
      <c r="C229" s="116">
        <v>225</v>
      </c>
      <c r="D229" s="458">
        <f t="shared" si="57"/>
        <v>126.24206359160098</v>
      </c>
      <c r="E229" s="116"/>
      <c r="F229" s="468">
        <f t="shared" si="58"/>
        <v>125.08499999999999</v>
      </c>
      <c r="H229" s="298" t="s">
        <v>219</v>
      </c>
      <c r="I229" s="116">
        <v>2027</v>
      </c>
      <c r="J229" s="116">
        <v>225</v>
      </c>
      <c r="K229" s="469">
        <f t="shared" si="59"/>
        <v>299.0595019838355</v>
      </c>
      <c r="L229" s="116"/>
      <c r="M229" s="440">
        <f t="shared" si="60"/>
        <v>284.03249999999997</v>
      </c>
    </row>
    <row r="230" spans="1:24" x14ac:dyDescent="0.25">
      <c r="A230" s="298" t="s">
        <v>220</v>
      </c>
      <c r="B230" s="116">
        <v>2027</v>
      </c>
      <c r="C230" s="116">
        <v>226</v>
      </c>
      <c r="D230" s="458">
        <f t="shared" si="57"/>
        <v>126.3752150993448</v>
      </c>
      <c r="E230" s="116"/>
      <c r="F230" s="468">
        <f t="shared" si="58"/>
        <v>125.19</v>
      </c>
      <c r="H230" s="298" t="s">
        <v>220</v>
      </c>
      <c r="I230" s="116">
        <v>2027</v>
      </c>
      <c r="J230" s="116">
        <v>226</v>
      </c>
      <c r="K230" s="469">
        <f t="shared" si="59"/>
        <v>299.52528155188543</v>
      </c>
      <c r="L230" s="116"/>
      <c r="M230" s="440">
        <f t="shared" si="60"/>
        <v>284.34299999999996</v>
      </c>
    </row>
    <row r="231" spans="1:24" x14ac:dyDescent="0.25">
      <c r="A231" s="298" t="s">
        <v>221</v>
      </c>
      <c r="B231" s="116">
        <v>2027</v>
      </c>
      <c r="C231" s="116">
        <v>227</v>
      </c>
      <c r="D231" s="458">
        <f t="shared" si="57"/>
        <v>126.50850704620622</v>
      </c>
      <c r="E231" s="116"/>
      <c r="F231" s="468">
        <f t="shared" si="58"/>
        <v>125.29499999999999</v>
      </c>
      <c r="H231" s="298" t="s">
        <v>221</v>
      </c>
      <c r="I231" s="116">
        <v>2027</v>
      </c>
      <c r="J231" s="116">
        <v>227</v>
      </c>
      <c r="K231" s="469">
        <f t="shared" si="59"/>
        <v>299.99178656288092</v>
      </c>
      <c r="L231" s="116"/>
      <c r="M231" s="440">
        <f t="shared" si="60"/>
        <v>284.65350000000001</v>
      </c>
    </row>
    <row r="232" spans="1:24" x14ac:dyDescent="0.25">
      <c r="A232" s="298" t="s">
        <v>222</v>
      </c>
      <c r="B232" s="116">
        <v>2027</v>
      </c>
      <c r="C232" s="116">
        <v>228</v>
      </c>
      <c r="D232" s="458">
        <f t="shared" si="57"/>
        <v>126.64193958031082</v>
      </c>
      <c r="E232" s="116"/>
      <c r="F232" s="468">
        <f t="shared" si="58"/>
        <v>125.39999999999999</v>
      </c>
      <c r="H232" s="298" t="s">
        <v>222</v>
      </c>
      <c r="I232" s="116">
        <v>2027</v>
      </c>
      <c r="J232" s="116">
        <v>228</v>
      </c>
      <c r="K232" s="469">
        <f t="shared" si="59"/>
        <v>300.45901814668576</v>
      </c>
      <c r="L232" s="116"/>
      <c r="M232" s="440">
        <f t="shared" si="60"/>
        <v>284.964</v>
      </c>
    </row>
    <row r="233" spans="1:24" x14ac:dyDescent="0.25">
      <c r="A233" s="298" t="s">
        <v>211</v>
      </c>
      <c r="B233" s="116">
        <v>2028</v>
      </c>
      <c r="C233" s="116">
        <v>229</v>
      </c>
      <c r="D233" s="458">
        <f t="shared" si="57"/>
        <v>126.77551284994043</v>
      </c>
      <c r="E233" s="116"/>
      <c r="F233" s="468">
        <f t="shared" si="58"/>
        <v>125.505</v>
      </c>
      <c r="H233" s="298" t="s">
        <v>211</v>
      </c>
      <c r="I233" s="116">
        <v>2028</v>
      </c>
      <c r="J233" s="116">
        <v>229</v>
      </c>
      <c r="K233" s="469">
        <f t="shared" si="59"/>
        <v>300.92697743492346</v>
      </c>
      <c r="L233" s="116"/>
      <c r="M233" s="440">
        <f t="shared" si="60"/>
        <v>285.27449999999999</v>
      </c>
    </row>
    <row r="234" spans="1:24" x14ac:dyDescent="0.25">
      <c r="A234" s="298" t="s">
        <v>212</v>
      </c>
      <c r="B234" s="116">
        <v>2028</v>
      </c>
      <c r="C234" s="116">
        <v>230</v>
      </c>
      <c r="D234" s="458">
        <f t="shared" si="57"/>
        <v>126.90922700353327</v>
      </c>
      <c r="E234" s="116"/>
      <c r="F234" s="468">
        <f t="shared" si="58"/>
        <v>125.60999999999999</v>
      </c>
      <c r="H234" s="298" t="s">
        <v>212</v>
      </c>
      <c r="I234" s="116">
        <v>2028</v>
      </c>
      <c r="J234" s="116">
        <v>230</v>
      </c>
      <c r="K234" s="469">
        <f t="shared" si="59"/>
        <v>301.39566556098004</v>
      </c>
      <c r="L234" s="116"/>
      <c r="M234" s="440">
        <f t="shared" si="60"/>
        <v>285.58499999999998</v>
      </c>
    </row>
    <row r="235" spans="1:24" x14ac:dyDescent="0.25">
      <c r="A235" s="298" t="s">
        <v>213</v>
      </c>
      <c r="B235" s="116">
        <v>2028</v>
      </c>
      <c r="C235" s="116">
        <v>231</v>
      </c>
      <c r="D235" s="458">
        <f t="shared" si="57"/>
        <v>127.04308218968414</v>
      </c>
      <c r="E235" s="116"/>
      <c r="F235" s="468">
        <f t="shared" si="58"/>
        <v>125.71499999999999</v>
      </c>
      <c r="H235" s="298" t="s">
        <v>213</v>
      </c>
      <c r="I235" s="116">
        <v>2028</v>
      </c>
      <c r="J235" s="116">
        <v>231</v>
      </c>
      <c r="K235" s="469">
        <f t="shared" si="59"/>
        <v>301.86508366000675</v>
      </c>
      <c r="L235" s="116"/>
      <c r="M235" s="440">
        <f t="shared" si="60"/>
        <v>285.89549999999997</v>
      </c>
    </row>
    <row r="236" spans="1:24" x14ac:dyDescent="0.25">
      <c r="A236" s="298" t="s">
        <v>214</v>
      </c>
      <c r="B236" s="116">
        <v>2028</v>
      </c>
      <c r="C236" s="116">
        <v>232</v>
      </c>
      <c r="D236" s="458">
        <f t="shared" si="57"/>
        <v>127.17707855714453</v>
      </c>
      <c r="E236" s="116"/>
      <c r="F236" s="468">
        <f t="shared" si="58"/>
        <v>125.82</v>
      </c>
      <c r="H236" s="298" t="s">
        <v>214</v>
      </c>
      <c r="I236" s="116">
        <v>2028</v>
      </c>
      <c r="J236" s="116">
        <v>232</v>
      </c>
      <c r="K236" s="469">
        <f t="shared" si="59"/>
        <v>302.33523286892279</v>
      </c>
      <c r="L236" s="116"/>
      <c r="M236" s="440">
        <f t="shared" si="60"/>
        <v>286.20600000000002</v>
      </c>
    </row>
    <row r="237" spans="1:24" x14ac:dyDescent="0.25">
      <c r="A237" s="298" t="s">
        <v>215</v>
      </c>
      <c r="B237" s="116">
        <v>2028</v>
      </c>
      <c r="C237" s="116">
        <v>233</v>
      </c>
      <c r="D237" s="458">
        <f t="shared" si="57"/>
        <v>127.31121625482285</v>
      </c>
      <c r="E237" s="116"/>
      <c r="F237" s="468">
        <f t="shared" si="58"/>
        <v>125.925</v>
      </c>
      <c r="H237" s="298" t="s">
        <v>215</v>
      </c>
      <c r="I237" s="116">
        <v>2028</v>
      </c>
      <c r="J237" s="116">
        <v>233</v>
      </c>
      <c r="K237" s="469">
        <f t="shared" si="59"/>
        <v>302.80611432641808</v>
      </c>
      <c r="L237" s="116"/>
      <c r="M237" s="440">
        <f t="shared" si="60"/>
        <v>286.51650000000001</v>
      </c>
    </row>
    <row r="238" spans="1:24" x14ac:dyDescent="0.25">
      <c r="A238" s="298" t="s">
        <v>216</v>
      </c>
      <c r="B238" s="116">
        <v>2028</v>
      </c>
      <c r="C238" s="116">
        <v>234</v>
      </c>
      <c r="D238" s="458">
        <f t="shared" si="57"/>
        <v>127.44549543178456</v>
      </c>
      <c r="E238" s="116"/>
      <c r="F238" s="468">
        <f t="shared" si="58"/>
        <v>126.03</v>
      </c>
      <c r="H238" s="298" t="s">
        <v>216</v>
      </c>
      <c r="I238" s="116">
        <v>2028</v>
      </c>
      <c r="J238" s="116">
        <v>234</v>
      </c>
      <c r="K238" s="469">
        <f t="shared" si="59"/>
        <v>303.27772917295607</v>
      </c>
      <c r="L238" s="116"/>
      <c r="M238" s="440">
        <f t="shared" si="60"/>
        <v>286.827</v>
      </c>
    </row>
    <row r="239" spans="1:24" x14ac:dyDescent="0.25">
      <c r="A239" s="298" t="s">
        <v>217</v>
      </c>
      <c r="B239" s="116">
        <v>2028</v>
      </c>
      <c r="C239" s="116">
        <v>235</v>
      </c>
      <c r="D239" s="458">
        <f t="shared" si="57"/>
        <v>127.57991623725236</v>
      </c>
      <c r="E239" s="116"/>
      <c r="F239" s="468">
        <f t="shared" si="58"/>
        <v>126.13499999999999</v>
      </c>
      <c r="H239" s="298" t="s">
        <v>217</v>
      </c>
      <c r="I239" s="116">
        <v>2028</v>
      </c>
      <c r="J239" s="116">
        <v>235</v>
      </c>
      <c r="K239" s="469">
        <f t="shared" si="59"/>
        <v>303.75007855077649</v>
      </c>
      <c r="L239" s="116"/>
      <c r="M239" s="440">
        <f t="shared" si="60"/>
        <v>287.13749999999999</v>
      </c>
    </row>
    <row r="240" spans="1:24" x14ac:dyDescent="0.25">
      <c r="A240" s="298" t="s">
        <v>218</v>
      </c>
      <c r="B240" s="116">
        <v>2028</v>
      </c>
      <c r="C240" s="116">
        <v>236</v>
      </c>
      <c r="D240" s="458">
        <f t="shared" si="57"/>
        <v>127.71447882060632</v>
      </c>
      <c r="F240" s="468">
        <f t="shared" si="58"/>
        <v>126.24</v>
      </c>
      <c r="H240" s="298" t="s">
        <v>218</v>
      </c>
      <c r="I240" s="116">
        <v>2028</v>
      </c>
      <c r="J240" s="116">
        <v>236</v>
      </c>
      <c r="K240" s="469">
        <f t="shared" si="59"/>
        <v>304.223163603898</v>
      </c>
      <c r="M240" s="440">
        <f t="shared" si="60"/>
        <v>287.44799999999998</v>
      </c>
      <c r="O240" s="548"/>
      <c r="P240" s="548"/>
      <c r="Q240" s="548"/>
      <c r="R240" s="548"/>
      <c r="S240" s="548"/>
      <c r="T240" s="548"/>
      <c r="U240" s="548"/>
      <c r="V240" s="548"/>
      <c r="W240" s="548"/>
      <c r="X240" s="548"/>
    </row>
    <row r="241" spans="1:35" x14ac:dyDescent="0.25">
      <c r="A241" s="298" t="s">
        <v>219</v>
      </c>
      <c r="B241" s="116">
        <v>2028</v>
      </c>
      <c r="C241" s="116">
        <v>237</v>
      </c>
      <c r="D241" s="458">
        <f t="shared" si="57"/>
        <v>127.84918333138405</v>
      </c>
      <c r="F241" s="468">
        <f t="shared" si="58"/>
        <v>126.345</v>
      </c>
      <c r="H241" s="298" t="s">
        <v>219</v>
      </c>
      <c r="I241" s="116">
        <v>2028</v>
      </c>
      <c r="J241" s="116">
        <v>237</v>
      </c>
      <c r="K241" s="469">
        <f t="shared" si="59"/>
        <v>304.69698547812112</v>
      </c>
      <c r="M241" s="440">
        <f t="shared" si="60"/>
        <v>287.75849999999997</v>
      </c>
      <c r="O241" s="548"/>
      <c r="P241" s="548"/>
      <c r="Q241" s="549"/>
      <c r="R241" s="548"/>
      <c r="S241" s="550"/>
      <c r="T241" s="548"/>
      <c r="U241" s="548"/>
      <c r="V241" s="548"/>
      <c r="W241" s="548"/>
      <c r="X241" s="548"/>
    </row>
    <row r="242" spans="1:35" x14ac:dyDescent="0.25">
      <c r="A242" s="298" t="s">
        <v>220</v>
      </c>
      <c r="B242" s="116">
        <v>2028</v>
      </c>
      <c r="C242" s="116">
        <v>238</v>
      </c>
      <c r="D242" s="458">
        <f t="shared" si="57"/>
        <v>127.98402991928094</v>
      </c>
      <c r="E242" s="551"/>
      <c r="F242" s="468">
        <f t="shared" si="58"/>
        <v>126.44999999999999</v>
      </c>
      <c r="G242" s="116"/>
      <c r="H242" s="298" t="s">
        <v>220</v>
      </c>
      <c r="I242" s="116">
        <v>2028</v>
      </c>
      <c r="J242" s="116">
        <v>238</v>
      </c>
      <c r="K242" s="469">
        <f t="shared" si="59"/>
        <v>305.17154532103086</v>
      </c>
      <c r="L242" s="551"/>
      <c r="M242" s="440">
        <f t="shared" si="60"/>
        <v>288.06899999999996</v>
      </c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</row>
    <row r="243" spans="1:35" x14ac:dyDescent="0.25">
      <c r="A243" s="298" t="s">
        <v>221</v>
      </c>
      <c r="B243" s="116">
        <v>2028</v>
      </c>
      <c r="C243" s="116">
        <v>239</v>
      </c>
      <c r="D243" s="458">
        <f t="shared" si="57"/>
        <v>128.11901873415022</v>
      </c>
      <c r="E243" s="116"/>
      <c r="F243" s="468">
        <f t="shared" si="58"/>
        <v>126.55499999999999</v>
      </c>
      <c r="G243" s="116"/>
      <c r="H243" s="298" t="s">
        <v>221</v>
      </c>
      <c r="I243" s="116">
        <v>2028</v>
      </c>
      <c r="J243" s="116">
        <v>239</v>
      </c>
      <c r="K243" s="469">
        <f t="shared" si="59"/>
        <v>305.64684428199968</v>
      </c>
      <c r="L243" s="116"/>
      <c r="M243" s="440">
        <f t="shared" si="60"/>
        <v>288.37950000000001</v>
      </c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</row>
    <row r="244" spans="1:35" x14ac:dyDescent="0.25">
      <c r="A244" s="298" t="s">
        <v>222</v>
      </c>
      <c r="B244" s="116">
        <v>2028</v>
      </c>
      <c r="C244" s="116">
        <v>240</v>
      </c>
      <c r="D244" s="458">
        <f t="shared" si="57"/>
        <v>128.25414992600318</v>
      </c>
      <c r="E244" s="116"/>
      <c r="F244" s="468">
        <f t="shared" si="58"/>
        <v>126.66</v>
      </c>
      <c r="G244" s="116"/>
      <c r="H244" s="298" t="s">
        <v>222</v>
      </c>
      <c r="I244" s="116">
        <v>2028</v>
      </c>
      <c r="J244" s="116">
        <v>240</v>
      </c>
      <c r="K244" s="469">
        <f t="shared" si="59"/>
        <v>306.12288351219001</v>
      </c>
      <c r="L244" s="444"/>
      <c r="M244" s="440">
        <f t="shared" si="60"/>
        <v>288.69</v>
      </c>
      <c r="N244" s="444"/>
      <c r="O244" s="552"/>
      <c r="P244" s="444"/>
      <c r="Q244" s="444"/>
      <c r="R244" s="444"/>
      <c r="S244" s="447"/>
      <c r="T244" s="447"/>
      <c r="U244" s="444"/>
      <c r="V244" s="444"/>
      <c r="W244" s="444"/>
      <c r="X244" s="458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</row>
    <row r="245" spans="1:35" x14ac:dyDescent="0.25">
      <c r="A245" s="298" t="s">
        <v>211</v>
      </c>
      <c r="B245" s="548">
        <v>2029</v>
      </c>
      <c r="C245" s="116">
        <v>241</v>
      </c>
      <c r="D245" s="458">
        <f t="shared" si="57"/>
        <v>128.38942364500934</v>
      </c>
      <c r="E245" s="116"/>
      <c r="F245" s="468">
        <f t="shared" si="58"/>
        <v>126.76499999999999</v>
      </c>
      <c r="G245" s="116"/>
      <c r="H245" s="298" t="s">
        <v>211</v>
      </c>
      <c r="I245" s="548">
        <v>2029</v>
      </c>
      <c r="J245" s="116">
        <v>241</v>
      </c>
      <c r="K245" s="469">
        <f t="shared" si="59"/>
        <v>306.5996641645574</v>
      </c>
      <c r="L245" s="116"/>
      <c r="M245" s="440">
        <f t="shared" si="60"/>
        <v>289.00049999999999</v>
      </c>
      <c r="N245" s="116"/>
      <c r="O245" s="552"/>
      <c r="P245" s="444"/>
      <c r="Q245" s="444"/>
      <c r="R245" s="116"/>
      <c r="S245" s="447"/>
      <c r="T245" s="447"/>
      <c r="U245" s="116"/>
      <c r="V245" s="116"/>
      <c r="W245" s="116"/>
      <c r="X245" s="458"/>
      <c r="Y245" s="54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</row>
    <row r="246" spans="1:35" x14ac:dyDescent="0.25">
      <c r="A246" s="298" t="s">
        <v>212</v>
      </c>
      <c r="B246" s="548">
        <v>2029</v>
      </c>
      <c r="C246" s="116">
        <v>242</v>
      </c>
      <c r="D246" s="458">
        <f t="shared" si="57"/>
        <v>128.52484004149662</v>
      </c>
      <c r="E246" s="116"/>
      <c r="F246" s="468">
        <f t="shared" si="58"/>
        <v>126.86999999999999</v>
      </c>
      <c r="G246" s="116"/>
      <c r="H246" s="298" t="s">
        <v>212</v>
      </c>
      <c r="I246" s="548">
        <v>2029</v>
      </c>
      <c r="J246" s="116">
        <v>242</v>
      </c>
      <c r="K246" s="469">
        <f t="shared" si="59"/>
        <v>307.07718739385291</v>
      </c>
      <c r="L246" s="116"/>
      <c r="M246" s="440">
        <f t="shared" si="60"/>
        <v>289.31099999999998</v>
      </c>
      <c r="N246" s="116"/>
      <c r="O246" s="552"/>
      <c r="P246" s="444"/>
      <c r="Q246" s="444"/>
      <c r="R246" s="116"/>
      <c r="S246" s="447"/>
      <c r="T246" s="447"/>
      <c r="U246" s="116"/>
      <c r="V246" s="116"/>
      <c r="W246" s="116"/>
      <c r="X246" s="458"/>
      <c r="Y246" s="54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</row>
    <row r="247" spans="1:35" x14ac:dyDescent="0.25">
      <c r="A247" s="298" t="s">
        <v>213</v>
      </c>
      <c r="B247" s="548">
        <v>2029</v>
      </c>
      <c r="C247" s="116">
        <v>243</v>
      </c>
      <c r="D247" s="458">
        <f t="shared" si="57"/>
        <v>128.66039926595147</v>
      </c>
      <c r="E247" s="116"/>
      <c r="F247" s="468">
        <f t="shared" si="58"/>
        <v>126.97499999999999</v>
      </c>
      <c r="G247" s="116"/>
      <c r="H247" s="298" t="s">
        <v>213</v>
      </c>
      <c r="I247" s="548">
        <v>2029</v>
      </c>
      <c r="J247" s="116">
        <v>243</v>
      </c>
      <c r="K247" s="469">
        <f t="shared" si="59"/>
        <v>307.55545435662617</v>
      </c>
      <c r="L247" s="116"/>
      <c r="M247" s="440">
        <f t="shared" si="60"/>
        <v>289.62149999999997</v>
      </c>
      <c r="N247" s="116"/>
      <c r="O247" s="552"/>
      <c r="P247" s="444"/>
      <c r="Q247" s="444"/>
      <c r="R247" s="116"/>
      <c r="S247" s="447"/>
      <c r="T247" s="447"/>
      <c r="U247" s="116"/>
      <c r="V247" s="116"/>
      <c r="W247" s="116"/>
      <c r="X247" s="458"/>
      <c r="Y247" s="54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</row>
    <row r="248" spans="1:35" x14ac:dyDescent="0.25">
      <c r="A248" s="298" t="s">
        <v>214</v>
      </c>
      <c r="B248" s="548">
        <v>2029</v>
      </c>
      <c r="C248" s="116">
        <v>244</v>
      </c>
      <c r="D248" s="458">
        <f t="shared" si="57"/>
        <v>128.79610146901908</v>
      </c>
      <c r="E248" s="116"/>
      <c r="F248" s="468">
        <f t="shared" si="58"/>
        <v>127.07999999999998</v>
      </c>
      <c r="G248" s="116"/>
      <c r="H248" s="298" t="s">
        <v>214</v>
      </c>
      <c r="I248" s="548">
        <v>2029</v>
      </c>
      <c r="J248" s="116">
        <v>244</v>
      </c>
      <c r="K248" s="469">
        <f t="shared" si="59"/>
        <v>308.03446621122822</v>
      </c>
      <c r="L248" s="116"/>
      <c r="M248" s="440">
        <f t="shared" si="60"/>
        <v>289.93200000000002</v>
      </c>
      <c r="N248" s="116"/>
      <c r="O248" s="552"/>
      <c r="P248" s="444"/>
      <c r="Q248" s="444"/>
      <c r="R248" s="116"/>
      <c r="S248" s="447"/>
      <c r="T248" s="447"/>
      <c r="U248" s="116"/>
      <c r="V248" s="116"/>
      <c r="W248" s="444"/>
      <c r="X248" s="458"/>
      <c r="Y248" s="54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</row>
    <row r="249" spans="1:35" x14ac:dyDescent="0.25">
      <c r="A249" s="298" t="s">
        <v>215</v>
      </c>
      <c r="B249" s="548">
        <v>2029</v>
      </c>
      <c r="C249" s="116">
        <v>245</v>
      </c>
      <c r="D249" s="458">
        <f t="shared" ref="D249:D312" si="68">D248*(1+$E$120)</f>
        <v>128.93194680150353</v>
      </c>
      <c r="E249" s="116"/>
      <c r="F249" s="468">
        <f t="shared" ref="F249:F312" si="69">0.105*C249+101.46</f>
        <v>127.18499999999999</v>
      </c>
      <c r="G249" s="116"/>
      <c r="H249" s="298" t="s">
        <v>215</v>
      </c>
      <c r="I249" s="548">
        <v>2029</v>
      </c>
      <c r="J249" s="116">
        <v>245</v>
      </c>
      <c r="K249" s="469">
        <f t="shared" ref="K249:K312" si="70">K248*(1+$L$120)</f>
        <v>308.51422411781402</v>
      </c>
      <c r="L249" s="116"/>
      <c r="M249" s="440">
        <f t="shared" ref="M249:M312" si="71">0.3105*J249+214.17</f>
        <v>290.24250000000001</v>
      </c>
      <c r="N249" s="116"/>
      <c r="O249" s="552"/>
      <c r="P249" s="444"/>
      <c r="Q249" s="444"/>
      <c r="R249" s="116"/>
      <c r="S249" s="447"/>
      <c r="T249" s="447"/>
      <c r="U249" s="116"/>
      <c r="V249" s="116"/>
      <c r="W249" s="116"/>
      <c r="X249" s="458"/>
      <c r="Y249" s="54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</row>
    <row r="250" spans="1:35" x14ac:dyDescent="0.25">
      <c r="A250" s="298" t="s">
        <v>216</v>
      </c>
      <c r="B250" s="548">
        <v>2029</v>
      </c>
      <c r="C250" s="116">
        <v>246</v>
      </c>
      <c r="D250" s="458">
        <f t="shared" si="68"/>
        <v>129.06793541436795</v>
      </c>
      <c r="E250" s="116"/>
      <c r="F250" s="468">
        <f t="shared" si="69"/>
        <v>127.28999999999999</v>
      </c>
      <c r="G250" s="116"/>
      <c r="H250" s="298" t="s">
        <v>216</v>
      </c>
      <c r="I250" s="548">
        <v>2029</v>
      </c>
      <c r="J250" s="116">
        <v>246</v>
      </c>
      <c r="K250" s="469">
        <f t="shared" si="70"/>
        <v>308.9947292383456</v>
      </c>
      <c r="L250" s="116"/>
      <c r="M250" s="440">
        <f t="shared" si="71"/>
        <v>290.553</v>
      </c>
      <c r="N250" s="116"/>
      <c r="O250" s="552"/>
      <c r="P250" s="444"/>
      <c r="Q250" s="444"/>
      <c r="R250" s="116"/>
      <c r="S250" s="447"/>
      <c r="T250" s="447"/>
      <c r="U250" s="116"/>
      <c r="V250" s="116"/>
      <c r="W250" s="116"/>
      <c r="X250" s="458"/>
      <c r="Y250" s="54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</row>
    <row r="251" spans="1:35" x14ac:dyDescent="0.25">
      <c r="A251" s="298" t="s">
        <v>217</v>
      </c>
      <c r="B251" s="548">
        <v>2029</v>
      </c>
      <c r="C251" s="116">
        <v>247</v>
      </c>
      <c r="D251" s="458">
        <f t="shared" si="68"/>
        <v>129.20406745873473</v>
      </c>
      <c r="E251" s="116"/>
      <c r="F251" s="468">
        <f t="shared" si="69"/>
        <v>127.395</v>
      </c>
      <c r="G251" s="116"/>
      <c r="H251" s="298" t="s">
        <v>217</v>
      </c>
      <c r="I251" s="548">
        <v>2029</v>
      </c>
      <c r="J251" s="116">
        <v>247</v>
      </c>
      <c r="K251" s="469">
        <f t="shared" si="70"/>
        <v>309.47598273659469</v>
      </c>
      <c r="L251" s="116"/>
      <c r="M251" s="440">
        <f t="shared" si="71"/>
        <v>290.86349999999999</v>
      </c>
      <c r="N251" s="116"/>
      <c r="O251" s="552"/>
      <c r="P251" s="444"/>
      <c r="Q251" s="444"/>
      <c r="R251" s="116"/>
      <c r="S251" s="447"/>
      <c r="T251" s="447"/>
      <c r="U251" s="116"/>
      <c r="V251" s="116"/>
      <c r="W251" s="116"/>
      <c r="X251" s="458"/>
      <c r="Y251" s="54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</row>
    <row r="252" spans="1:35" x14ac:dyDescent="0.25">
      <c r="A252" s="298" t="s">
        <v>218</v>
      </c>
      <c r="B252" s="548">
        <v>2029</v>
      </c>
      <c r="C252" s="116">
        <v>248</v>
      </c>
      <c r="D252" s="458">
        <f t="shared" si="68"/>
        <v>129.34034308588559</v>
      </c>
      <c r="E252" s="116"/>
      <c r="F252" s="468">
        <f t="shared" si="69"/>
        <v>127.5</v>
      </c>
      <c r="G252" s="116"/>
      <c r="H252" s="298" t="s">
        <v>218</v>
      </c>
      <c r="I252" s="548">
        <v>2029</v>
      </c>
      <c r="J252" s="116">
        <v>248</v>
      </c>
      <c r="K252" s="469">
        <f t="shared" si="70"/>
        <v>309.95798577814548</v>
      </c>
      <c r="L252" s="116"/>
      <c r="M252" s="440">
        <f t="shared" si="71"/>
        <v>291.17399999999998</v>
      </c>
      <c r="N252" s="116"/>
      <c r="O252" s="552"/>
      <c r="P252" s="444"/>
      <c r="Q252" s="444"/>
      <c r="R252" s="116"/>
      <c r="S252" s="447"/>
      <c r="T252" s="447"/>
      <c r="U252" s="116"/>
      <c r="V252" s="116"/>
      <c r="W252" s="444"/>
      <c r="X252" s="458"/>
      <c r="Y252" s="54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</row>
    <row r="253" spans="1:35" x14ac:dyDescent="0.25">
      <c r="A253" s="298" t="s">
        <v>219</v>
      </c>
      <c r="B253" s="548">
        <v>2029</v>
      </c>
      <c r="C253" s="116">
        <v>249</v>
      </c>
      <c r="D253" s="458">
        <f t="shared" si="68"/>
        <v>129.47676244726185</v>
      </c>
      <c r="E253" s="116"/>
      <c r="F253" s="468">
        <f t="shared" si="69"/>
        <v>127.60499999999999</v>
      </c>
      <c r="G253" s="116"/>
      <c r="H253" s="298" t="s">
        <v>219</v>
      </c>
      <c r="I253" s="548">
        <v>2029</v>
      </c>
      <c r="J253" s="116">
        <v>249</v>
      </c>
      <c r="K253" s="469">
        <f t="shared" si="70"/>
        <v>310.44073953039771</v>
      </c>
      <c r="L253" s="116"/>
      <c r="M253" s="440">
        <f t="shared" si="71"/>
        <v>291.48449999999997</v>
      </c>
      <c r="N253" s="116"/>
      <c r="O253" s="552"/>
      <c r="P253" s="444"/>
      <c r="Q253" s="444"/>
      <c r="R253" s="116"/>
      <c r="S253" s="447"/>
      <c r="T253" s="447"/>
      <c r="U253" s="116"/>
      <c r="V253" s="116"/>
      <c r="W253" s="116"/>
      <c r="X253" s="458"/>
      <c r="Y253" s="54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</row>
    <row r="254" spans="1:35" x14ac:dyDescent="0.25">
      <c r="A254" s="298" t="s">
        <v>220</v>
      </c>
      <c r="B254" s="548">
        <v>2029</v>
      </c>
      <c r="C254" s="116">
        <v>250</v>
      </c>
      <c r="D254" s="458">
        <f t="shared" si="68"/>
        <v>129.61332569446458</v>
      </c>
      <c r="E254" s="116"/>
      <c r="F254" s="468">
        <f t="shared" si="69"/>
        <v>127.71</v>
      </c>
      <c r="G254" s="116"/>
      <c r="H254" s="298" t="s">
        <v>220</v>
      </c>
      <c r="I254" s="548">
        <v>2029</v>
      </c>
      <c r="J254" s="116">
        <v>250</v>
      </c>
      <c r="K254" s="469">
        <f t="shared" si="70"/>
        <v>310.92424516256915</v>
      </c>
      <c r="L254" s="116"/>
      <c r="M254" s="440">
        <f t="shared" si="71"/>
        <v>291.79499999999996</v>
      </c>
      <c r="N254" s="116"/>
      <c r="O254" s="552"/>
      <c r="P254" s="444"/>
      <c r="Q254" s="444"/>
      <c r="R254" s="116"/>
      <c r="S254" s="447"/>
      <c r="T254" s="447"/>
      <c r="U254" s="116"/>
      <c r="V254" s="116"/>
      <c r="W254" s="116"/>
      <c r="X254" s="458"/>
      <c r="Y254" s="54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</row>
    <row r="255" spans="1:35" x14ac:dyDescent="0.25">
      <c r="A255" s="298" t="s">
        <v>221</v>
      </c>
      <c r="B255" s="548">
        <v>2029</v>
      </c>
      <c r="C255" s="116">
        <v>251</v>
      </c>
      <c r="D255" s="458">
        <f t="shared" si="68"/>
        <v>129.75003297925468</v>
      </c>
      <c r="E255" s="116"/>
      <c r="F255" s="468">
        <f t="shared" si="69"/>
        <v>127.815</v>
      </c>
      <c r="G255" s="116"/>
      <c r="H255" s="298" t="s">
        <v>221</v>
      </c>
      <c r="I255" s="548">
        <v>2029</v>
      </c>
      <c r="J255" s="116">
        <v>251</v>
      </c>
      <c r="K255" s="469">
        <f t="shared" si="70"/>
        <v>311.4085038456987</v>
      </c>
      <c r="L255" s="116"/>
      <c r="M255" s="440">
        <f t="shared" si="71"/>
        <v>292.10550000000001</v>
      </c>
      <c r="N255" s="116"/>
      <c r="O255" s="552"/>
      <c r="P255" s="444"/>
      <c r="Q255" s="444"/>
      <c r="R255" s="116"/>
      <c r="S255" s="447"/>
      <c r="T255" s="447"/>
      <c r="U255" s="116"/>
      <c r="V255" s="116"/>
      <c r="W255" s="116"/>
      <c r="X255" s="458"/>
      <c r="Y255" s="54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</row>
    <row r="256" spans="1:35" x14ac:dyDescent="0.25">
      <c r="A256" s="298" t="s">
        <v>222</v>
      </c>
      <c r="B256" s="548">
        <v>2029</v>
      </c>
      <c r="C256" s="116">
        <v>252</v>
      </c>
      <c r="D256" s="458">
        <f t="shared" si="68"/>
        <v>129.88688445355319</v>
      </c>
      <c r="E256" s="116"/>
      <c r="F256" s="468">
        <f t="shared" si="69"/>
        <v>127.91999999999999</v>
      </c>
      <c r="G256" s="116"/>
      <c r="H256" s="298" t="s">
        <v>222</v>
      </c>
      <c r="I256" s="548">
        <v>2029</v>
      </c>
      <c r="J256" s="116">
        <v>252</v>
      </c>
      <c r="K256" s="469">
        <f t="shared" si="70"/>
        <v>311.89351675264913</v>
      </c>
      <c r="L256" s="116"/>
      <c r="M256" s="440">
        <f t="shared" si="71"/>
        <v>292.416</v>
      </c>
      <c r="N256" s="451"/>
      <c r="O256" s="553"/>
      <c r="P256" s="444"/>
      <c r="Q256" s="444"/>
      <c r="R256" s="451"/>
      <c r="S256" s="454"/>
      <c r="T256" s="454"/>
      <c r="U256" s="451"/>
      <c r="V256" s="451"/>
      <c r="W256" s="444"/>
      <c r="X256" s="458"/>
      <c r="Y256" s="54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</row>
    <row r="257" spans="1:35" x14ac:dyDescent="0.25">
      <c r="A257" s="298" t="s">
        <v>211</v>
      </c>
      <c r="B257" s="548">
        <v>2030</v>
      </c>
      <c r="C257" s="116">
        <v>253</v>
      </c>
      <c r="D257" s="458">
        <f t="shared" si="68"/>
        <v>130.02388026944135</v>
      </c>
      <c r="E257" s="116"/>
      <c r="F257" s="468">
        <f t="shared" si="69"/>
        <v>128.02499999999998</v>
      </c>
      <c r="G257" s="116"/>
      <c r="H257" s="298" t="s">
        <v>211</v>
      </c>
      <c r="I257" s="548">
        <v>2030</v>
      </c>
      <c r="J257" s="116">
        <v>253</v>
      </c>
      <c r="K257" s="469">
        <f t="shared" si="70"/>
        <v>312.37928505810987</v>
      </c>
      <c r="L257" s="116"/>
      <c r="M257" s="440">
        <f t="shared" si="71"/>
        <v>292.72649999999999</v>
      </c>
      <c r="N257" s="116"/>
      <c r="O257" s="553"/>
      <c r="P257" s="444"/>
      <c r="Q257" s="444"/>
      <c r="R257" s="116"/>
      <c r="S257" s="454"/>
      <c r="T257" s="454"/>
      <c r="U257" s="116"/>
      <c r="V257" s="116"/>
      <c r="W257" s="116"/>
      <c r="X257" s="458"/>
      <c r="Y257" s="54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</row>
    <row r="258" spans="1:35" x14ac:dyDescent="0.25">
      <c r="A258" s="298" t="s">
        <v>212</v>
      </c>
      <c r="B258" s="548">
        <v>2030</v>
      </c>
      <c r="C258" s="116">
        <v>254</v>
      </c>
      <c r="D258" s="458">
        <f t="shared" si="68"/>
        <v>130.16102057916083</v>
      </c>
      <c r="E258" s="116"/>
      <c r="F258" s="468">
        <f t="shared" si="69"/>
        <v>128.13</v>
      </c>
      <c r="G258" s="116"/>
      <c r="H258" s="298" t="s">
        <v>212</v>
      </c>
      <c r="I258" s="548">
        <v>2030</v>
      </c>
      <c r="J258" s="116">
        <v>254</v>
      </c>
      <c r="K258" s="469">
        <f t="shared" si="70"/>
        <v>312.86580993859997</v>
      </c>
      <c r="L258" s="116"/>
      <c r="M258" s="440">
        <f t="shared" si="71"/>
        <v>293.03699999999998</v>
      </c>
      <c r="N258" s="116"/>
      <c r="O258" s="553"/>
      <c r="P258" s="444"/>
      <c r="Q258" s="444"/>
      <c r="R258" s="116"/>
      <c r="S258" s="454"/>
      <c r="T258" s="454"/>
      <c r="U258" s="116"/>
      <c r="V258" s="116"/>
      <c r="W258" s="116"/>
      <c r="X258" s="458"/>
      <c r="Y258" s="546"/>
      <c r="Z258" s="116"/>
      <c r="AA258" s="116"/>
      <c r="AB258" s="116"/>
      <c r="AC258" s="116"/>
      <c r="AD258" s="116"/>
      <c r="AE258" s="116"/>
      <c r="AF258" s="116"/>
      <c r="AG258" s="116"/>
      <c r="AH258" s="116"/>
      <c r="AI258" s="116"/>
    </row>
    <row r="259" spans="1:35" x14ac:dyDescent="0.25">
      <c r="A259" s="298" t="s">
        <v>213</v>
      </c>
      <c r="B259" s="548">
        <v>2030</v>
      </c>
      <c r="C259" s="116">
        <v>255</v>
      </c>
      <c r="D259" s="458">
        <f t="shared" si="68"/>
        <v>130.29830553511383</v>
      </c>
      <c r="E259" s="116"/>
      <c r="F259" s="468">
        <f t="shared" si="69"/>
        <v>128.23499999999999</v>
      </c>
      <c r="G259" s="116"/>
      <c r="H259" s="298" t="s">
        <v>213</v>
      </c>
      <c r="I259" s="548">
        <v>2030</v>
      </c>
      <c r="J259" s="116">
        <v>255</v>
      </c>
      <c r="K259" s="469">
        <f t="shared" si="70"/>
        <v>313.35309257247087</v>
      </c>
      <c r="L259" s="116"/>
      <c r="M259" s="440">
        <f t="shared" si="71"/>
        <v>293.34749999999997</v>
      </c>
      <c r="N259" s="116"/>
      <c r="O259" s="553"/>
      <c r="P259" s="444"/>
      <c r="Q259" s="444"/>
      <c r="R259" s="116"/>
      <c r="S259" s="454"/>
      <c r="T259" s="454"/>
      <c r="U259" s="116"/>
      <c r="V259" s="116"/>
      <c r="W259" s="116"/>
      <c r="X259" s="458"/>
      <c r="Y259" s="546"/>
      <c r="Z259" s="116"/>
      <c r="AA259" s="116"/>
      <c r="AB259" s="116"/>
      <c r="AC259" s="116"/>
      <c r="AD259" s="116"/>
      <c r="AE259" s="116"/>
      <c r="AF259" s="116"/>
      <c r="AG259" s="116"/>
      <c r="AH259" s="116"/>
      <c r="AI259" s="116"/>
    </row>
    <row r="260" spans="1:35" x14ac:dyDescent="0.25">
      <c r="A260" s="298" t="s">
        <v>214</v>
      </c>
      <c r="B260" s="548">
        <v>2030</v>
      </c>
      <c r="C260" s="116">
        <v>256</v>
      </c>
      <c r="D260" s="458">
        <f t="shared" si="68"/>
        <v>130.43573528986332</v>
      </c>
      <c r="E260" s="116"/>
      <c r="F260" s="468">
        <f t="shared" si="69"/>
        <v>128.34</v>
      </c>
      <c r="G260" s="116"/>
      <c r="H260" s="298" t="s">
        <v>214</v>
      </c>
      <c r="I260" s="548">
        <v>2030</v>
      </c>
      <c r="J260" s="116">
        <v>256</v>
      </c>
      <c r="K260" s="469">
        <f t="shared" si="70"/>
        <v>313.84113413990923</v>
      </c>
      <c r="L260" s="116"/>
      <c r="M260" s="440">
        <f t="shared" si="71"/>
        <v>293.65800000000002</v>
      </c>
      <c r="N260" s="116"/>
      <c r="O260" s="553"/>
      <c r="P260" s="444"/>
      <c r="Q260" s="444"/>
      <c r="R260" s="116"/>
      <c r="S260" s="454"/>
      <c r="T260" s="454"/>
      <c r="U260" s="116"/>
      <c r="V260" s="116"/>
      <c r="W260" s="444"/>
      <c r="X260" s="458"/>
      <c r="Y260" s="54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</row>
    <row r="261" spans="1:35" x14ac:dyDescent="0.25">
      <c r="A261" s="298" t="s">
        <v>215</v>
      </c>
      <c r="B261" s="548">
        <v>2030</v>
      </c>
      <c r="C261" s="116">
        <v>257</v>
      </c>
      <c r="D261" s="458">
        <f t="shared" si="68"/>
        <v>130.57330999613319</v>
      </c>
      <c r="E261" s="116"/>
      <c r="F261" s="468">
        <f t="shared" si="69"/>
        <v>128.44499999999999</v>
      </c>
      <c r="G261" s="116"/>
      <c r="H261" s="298" t="s">
        <v>215</v>
      </c>
      <c r="I261" s="548">
        <v>2030</v>
      </c>
      <c r="J261" s="116">
        <v>257</v>
      </c>
      <c r="K261" s="469">
        <f t="shared" si="70"/>
        <v>314.32993582293983</v>
      </c>
      <c r="L261" s="116"/>
      <c r="M261" s="440">
        <f t="shared" si="71"/>
        <v>293.96850000000001</v>
      </c>
      <c r="N261" s="116"/>
      <c r="O261" s="553"/>
      <c r="P261" s="444"/>
      <c r="Q261" s="444"/>
      <c r="R261" s="116"/>
      <c r="S261" s="454"/>
      <c r="T261" s="454"/>
      <c r="U261" s="116"/>
      <c r="V261" s="116"/>
      <c r="W261" s="116"/>
      <c r="X261" s="116"/>
      <c r="Y261" s="116"/>
      <c r="Z261" s="116"/>
      <c r="AA261" s="116"/>
      <c r="AB261" s="116"/>
      <c r="AC261" s="116"/>
      <c r="AD261" s="116"/>
      <c r="AE261" s="116"/>
      <c r="AF261" s="116"/>
      <c r="AG261" s="116"/>
      <c r="AH261" s="116"/>
      <c r="AI261" s="116"/>
    </row>
    <row r="262" spans="1:35" x14ac:dyDescent="0.25">
      <c r="A262" s="298" t="s">
        <v>216</v>
      </c>
      <c r="B262" s="548">
        <v>2030</v>
      </c>
      <c r="C262" s="116">
        <v>258</v>
      </c>
      <c r="D262" s="458">
        <f t="shared" si="68"/>
        <v>130.71102980680843</v>
      </c>
      <c r="E262" s="116"/>
      <c r="F262" s="468">
        <f t="shared" si="69"/>
        <v>128.54999999999998</v>
      </c>
      <c r="G262" s="116"/>
      <c r="H262" s="298" t="s">
        <v>216</v>
      </c>
      <c r="I262" s="548">
        <v>2030</v>
      </c>
      <c r="J262" s="116">
        <v>258</v>
      </c>
      <c r="K262" s="469">
        <f t="shared" si="70"/>
        <v>314.81949880542845</v>
      </c>
      <c r="L262" s="116"/>
      <c r="M262" s="440">
        <f t="shared" si="71"/>
        <v>294.279</v>
      </c>
      <c r="N262" s="116"/>
      <c r="O262" s="553"/>
      <c r="P262" s="444"/>
      <c r="Q262" s="444"/>
      <c r="R262" s="116"/>
      <c r="S262" s="454"/>
      <c r="T262" s="454"/>
      <c r="U262" s="116"/>
      <c r="V262" s="116"/>
      <c r="W262" s="880"/>
      <c r="X262" s="880"/>
      <c r="Y262" s="116"/>
      <c r="Z262" s="880"/>
      <c r="AA262" s="880"/>
      <c r="AB262" s="116"/>
      <c r="AC262" s="116"/>
      <c r="AD262" s="880"/>
      <c r="AE262" s="880"/>
      <c r="AF262" s="116"/>
      <c r="AG262" s="116"/>
      <c r="AH262" s="116"/>
      <c r="AI262" s="116"/>
    </row>
    <row r="263" spans="1:35" x14ac:dyDescent="0.25">
      <c r="A263" s="298" t="s">
        <v>217</v>
      </c>
      <c r="B263" s="548">
        <v>2030</v>
      </c>
      <c r="C263" s="116">
        <v>259</v>
      </c>
      <c r="D263" s="458">
        <f t="shared" si="68"/>
        <v>130.84889487493521</v>
      </c>
      <c r="E263" s="116"/>
      <c r="F263" s="468">
        <f t="shared" si="69"/>
        <v>128.655</v>
      </c>
      <c r="G263" s="116"/>
      <c r="H263" s="298" t="s">
        <v>217</v>
      </c>
      <c r="I263" s="548">
        <v>2030</v>
      </c>
      <c r="J263" s="116">
        <v>259</v>
      </c>
      <c r="K263" s="469">
        <f t="shared" si="70"/>
        <v>315.30982427308476</v>
      </c>
      <c r="L263" s="116"/>
      <c r="M263" s="440">
        <f t="shared" si="71"/>
        <v>294.58949999999999</v>
      </c>
      <c r="N263" s="116"/>
      <c r="O263" s="553"/>
      <c r="P263" s="444"/>
      <c r="Q263" s="444"/>
      <c r="R263" s="116"/>
      <c r="S263" s="454"/>
      <c r="T263" s="454"/>
      <c r="U263" s="116"/>
      <c r="V263" s="116"/>
      <c r="W263" s="116"/>
      <c r="X263" s="116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</row>
    <row r="264" spans="1:35" x14ac:dyDescent="0.25">
      <c r="A264" s="298" t="s">
        <v>218</v>
      </c>
      <c r="B264" s="548">
        <v>2030</v>
      </c>
      <c r="C264" s="116">
        <v>260</v>
      </c>
      <c r="D264" s="458">
        <f t="shared" si="68"/>
        <v>130.98690535372123</v>
      </c>
      <c r="E264" s="116"/>
      <c r="F264" s="468">
        <f t="shared" si="69"/>
        <v>128.76</v>
      </c>
      <c r="G264" s="116"/>
      <c r="H264" s="298" t="s">
        <v>218</v>
      </c>
      <c r="I264" s="548">
        <v>2030</v>
      </c>
      <c r="J264" s="116">
        <v>260</v>
      </c>
      <c r="K264" s="469">
        <f t="shared" si="70"/>
        <v>315.80091341346514</v>
      </c>
      <c r="L264" s="116"/>
      <c r="M264" s="440">
        <f t="shared" si="71"/>
        <v>294.89999999999998</v>
      </c>
      <c r="N264" s="116"/>
      <c r="O264" s="553"/>
      <c r="P264" s="444"/>
      <c r="Q264" s="444"/>
      <c r="R264" s="116"/>
      <c r="S264" s="454"/>
      <c r="T264" s="454"/>
      <c r="U264" s="116"/>
      <c r="V264" s="116"/>
      <c r="W264" s="116"/>
      <c r="X264" s="458"/>
      <c r="Y264" s="116"/>
      <c r="Z264" s="116"/>
      <c r="AA264" s="458"/>
      <c r="AB264" s="116"/>
      <c r="AC264" s="116"/>
      <c r="AD264" s="116"/>
      <c r="AE264" s="458"/>
      <c r="AF264" s="116"/>
      <c r="AG264" s="116"/>
      <c r="AH264" s="116"/>
      <c r="AI264" s="116"/>
    </row>
    <row r="265" spans="1:35" x14ac:dyDescent="0.25">
      <c r="A265" s="298" t="s">
        <v>219</v>
      </c>
      <c r="B265" s="548">
        <v>2030</v>
      </c>
      <c r="C265" s="116">
        <v>261</v>
      </c>
      <c r="D265" s="458">
        <f t="shared" si="68"/>
        <v>131.12506139653567</v>
      </c>
      <c r="E265" s="116"/>
      <c r="F265" s="468">
        <f t="shared" si="69"/>
        <v>128.86499999999998</v>
      </c>
      <c r="G265" s="116"/>
      <c r="H265" s="298" t="s">
        <v>219</v>
      </c>
      <c r="I265" s="548">
        <v>2030</v>
      </c>
      <c r="J265" s="116">
        <v>261</v>
      </c>
      <c r="K265" s="469">
        <f t="shared" si="70"/>
        <v>316.2927674159755</v>
      </c>
      <c r="L265" s="116"/>
      <c r="M265" s="440">
        <f t="shared" si="71"/>
        <v>295.21049999999997</v>
      </c>
      <c r="N265" s="116"/>
      <c r="O265" s="553"/>
      <c r="P265" s="444"/>
      <c r="Q265" s="444"/>
      <c r="R265" s="116"/>
      <c r="S265" s="454"/>
      <c r="T265" s="454"/>
      <c r="U265" s="116"/>
      <c r="V265" s="116"/>
      <c r="W265" s="116"/>
      <c r="X265" s="458"/>
      <c r="Y265" s="116"/>
      <c r="Z265" s="116"/>
      <c r="AA265" s="458"/>
      <c r="AB265" s="116"/>
      <c r="AC265" s="116"/>
      <c r="AD265" s="116"/>
      <c r="AE265" s="458"/>
      <c r="AF265" s="116"/>
      <c r="AG265" s="116"/>
      <c r="AH265" s="116"/>
      <c r="AI265" s="116"/>
    </row>
    <row r="266" spans="1:35" x14ac:dyDescent="0.25">
      <c r="A266" s="298" t="s">
        <v>220</v>
      </c>
      <c r="B266" s="548">
        <v>2030</v>
      </c>
      <c r="C266" s="116">
        <v>262</v>
      </c>
      <c r="D266" s="458">
        <f t="shared" si="68"/>
        <v>131.26336315690955</v>
      </c>
      <c r="E266" s="116"/>
      <c r="F266" s="468">
        <f t="shared" si="69"/>
        <v>128.97</v>
      </c>
      <c r="G266" s="116"/>
      <c r="H266" s="298" t="s">
        <v>220</v>
      </c>
      <c r="I266" s="548">
        <v>2030</v>
      </c>
      <c r="J266" s="116">
        <v>262</v>
      </c>
      <c r="K266" s="469">
        <f t="shared" si="70"/>
        <v>316.78538747187429</v>
      </c>
      <c r="L266" s="116"/>
      <c r="M266" s="440">
        <f t="shared" si="71"/>
        <v>295.52099999999996</v>
      </c>
      <c r="N266" s="116"/>
      <c r="O266" s="553"/>
      <c r="P266" s="444"/>
      <c r="Q266" s="444"/>
      <c r="R266" s="116"/>
      <c r="S266" s="454"/>
      <c r="T266" s="454"/>
      <c r="U266" s="116"/>
      <c r="V266" s="116"/>
      <c r="W266" s="116"/>
      <c r="X266" s="458"/>
      <c r="Y266" s="116"/>
      <c r="Z266" s="116"/>
      <c r="AA266" s="458"/>
      <c r="AB266" s="116"/>
      <c r="AC266" s="116"/>
      <c r="AD266" s="116"/>
      <c r="AE266" s="458"/>
      <c r="AF266" s="116"/>
      <c r="AG266" s="116"/>
      <c r="AH266" s="116"/>
      <c r="AI266" s="116"/>
    </row>
    <row r="267" spans="1:35" x14ac:dyDescent="0.25">
      <c r="A267" s="298" t="s">
        <v>221</v>
      </c>
      <c r="B267" s="548">
        <v>2030</v>
      </c>
      <c r="C267" s="116">
        <v>263</v>
      </c>
      <c r="D267" s="458">
        <f t="shared" si="68"/>
        <v>131.40181078853578</v>
      </c>
      <c r="E267" s="116"/>
      <c r="F267" s="468">
        <f t="shared" si="69"/>
        <v>129.07499999999999</v>
      </c>
      <c r="G267" s="116"/>
      <c r="H267" s="298" t="s">
        <v>221</v>
      </c>
      <c r="I267" s="548">
        <v>2030</v>
      </c>
      <c r="J267" s="116">
        <v>263</v>
      </c>
      <c r="K267" s="469">
        <f t="shared" si="70"/>
        <v>317.27877477427529</v>
      </c>
      <c r="L267" s="116"/>
      <c r="M267" s="440">
        <f t="shared" si="71"/>
        <v>295.83150000000001</v>
      </c>
      <c r="N267" s="116"/>
      <c r="O267" s="553"/>
      <c r="P267" s="444"/>
      <c r="Q267" s="444"/>
      <c r="R267" s="116"/>
      <c r="S267" s="454"/>
      <c r="T267" s="454"/>
      <c r="U267" s="116"/>
      <c r="V267" s="116"/>
      <c r="W267" s="116"/>
      <c r="X267" s="458"/>
      <c r="Y267" s="116"/>
      <c r="Z267" s="116"/>
      <c r="AA267" s="458"/>
      <c r="AB267" s="116"/>
      <c r="AC267" s="116"/>
      <c r="AD267" s="116"/>
      <c r="AE267" s="458"/>
      <c r="AF267" s="116"/>
      <c r="AG267" s="116"/>
      <c r="AH267" s="116"/>
      <c r="AI267" s="116"/>
    </row>
    <row r="268" spans="1:35" x14ac:dyDescent="0.25">
      <c r="A268" s="298" t="s">
        <v>222</v>
      </c>
      <c r="B268" s="548">
        <v>2030</v>
      </c>
      <c r="C268" s="116">
        <v>264</v>
      </c>
      <c r="D268" s="458">
        <f t="shared" si="68"/>
        <v>131.54040444526942</v>
      </c>
      <c r="E268" s="116"/>
      <c r="F268" s="468">
        <f t="shared" si="69"/>
        <v>129.18</v>
      </c>
      <c r="G268" s="116"/>
      <c r="H268" s="298" t="s">
        <v>222</v>
      </c>
      <c r="I268" s="548">
        <v>2030</v>
      </c>
      <c r="J268" s="116">
        <v>264</v>
      </c>
      <c r="K268" s="469">
        <f t="shared" si="70"/>
        <v>317.77293051815053</v>
      </c>
      <c r="L268" s="116"/>
      <c r="M268" s="440">
        <f t="shared" si="71"/>
        <v>296.142</v>
      </c>
      <c r="N268" s="444"/>
      <c r="O268" s="554"/>
      <c r="P268" s="444"/>
      <c r="Q268" s="444"/>
      <c r="R268" s="444"/>
      <c r="S268" s="447"/>
      <c r="T268" s="447"/>
      <c r="U268" s="444"/>
      <c r="V268" s="444"/>
      <c r="W268" s="444"/>
      <c r="X268" s="458"/>
      <c r="Y268" s="116"/>
      <c r="Z268" s="116"/>
      <c r="AA268" s="458"/>
      <c r="AB268" s="116"/>
      <c r="AC268" s="116"/>
      <c r="AD268" s="116"/>
      <c r="AE268" s="458"/>
      <c r="AF268" s="116"/>
      <c r="AG268" s="116"/>
      <c r="AH268" s="116"/>
      <c r="AI268" s="116"/>
    </row>
    <row r="269" spans="1:35" x14ac:dyDescent="0.25">
      <c r="A269" s="298" t="s">
        <v>211</v>
      </c>
      <c r="B269" s="548">
        <v>2031</v>
      </c>
      <c r="C269" s="116">
        <v>265</v>
      </c>
      <c r="D269" s="458">
        <f t="shared" si="68"/>
        <v>131.67914428112778</v>
      </c>
      <c r="E269" s="116"/>
      <c r="F269" s="468">
        <f t="shared" si="69"/>
        <v>129.285</v>
      </c>
      <c r="G269" s="116"/>
      <c r="H269" s="298" t="s">
        <v>211</v>
      </c>
      <c r="I269" s="548">
        <v>2031</v>
      </c>
      <c r="J269" s="116">
        <v>265</v>
      </c>
      <c r="K269" s="469">
        <f t="shared" si="70"/>
        <v>318.26785590033319</v>
      </c>
      <c r="L269" s="116"/>
      <c r="M269" s="440">
        <f t="shared" si="71"/>
        <v>296.45249999999999</v>
      </c>
      <c r="N269" s="116"/>
      <c r="O269" s="554"/>
      <c r="P269" s="444"/>
      <c r="Q269" s="444"/>
      <c r="R269" s="116"/>
      <c r="S269" s="447"/>
      <c r="T269" s="447"/>
      <c r="U269" s="116"/>
      <c r="V269" s="116"/>
      <c r="W269" s="116"/>
      <c r="X269" s="458"/>
      <c r="Y269" s="116"/>
      <c r="Z269" s="116"/>
      <c r="AA269" s="458"/>
      <c r="AB269" s="116"/>
      <c r="AC269" s="116"/>
      <c r="AD269" s="116"/>
      <c r="AE269" s="458"/>
      <c r="AF269" s="116"/>
      <c r="AG269" s="116"/>
      <c r="AH269" s="116"/>
      <c r="AI269" s="116"/>
    </row>
    <row r="270" spans="1:35" x14ac:dyDescent="0.25">
      <c r="A270" s="298" t="s">
        <v>212</v>
      </c>
      <c r="B270" s="548">
        <v>2031</v>
      </c>
      <c r="C270" s="116">
        <v>266</v>
      </c>
      <c r="D270" s="458">
        <f t="shared" si="68"/>
        <v>131.81803045029059</v>
      </c>
      <c r="E270" s="116"/>
      <c r="F270" s="468">
        <f t="shared" si="69"/>
        <v>129.38999999999999</v>
      </c>
      <c r="G270" s="116"/>
      <c r="H270" s="298" t="s">
        <v>212</v>
      </c>
      <c r="I270" s="548">
        <v>2031</v>
      </c>
      <c r="J270" s="116">
        <v>266</v>
      </c>
      <c r="K270" s="469">
        <f t="shared" si="70"/>
        <v>318.76355211952057</v>
      </c>
      <c r="L270" s="116"/>
      <c r="M270" s="440">
        <f t="shared" si="71"/>
        <v>296.76299999999998</v>
      </c>
      <c r="N270" s="116"/>
      <c r="O270" s="554"/>
      <c r="P270" s="444"/>
      <c r="Q270" s="444"/>
      <c r="R270" s="116"/>
      <c r="S270" s="447"/>
      <c r="T270" s="447"/>
      <c r="U270" s="116"/>
      <c r="V270" s="116"/>
      <c r="W270" s="116"/>
      <c r="X270" s="458"/>
      <c r="Y270" s="116"/>
      <c r="Z270" s="116"/>
      <c r="AA270" s="458"/>
      <c r="AB270" s="116"/>
      <c r="AC270" s="116"/>
      <c r="AD270" s="116"/>
      <c r="AE270" s="458"/>
      <c r="AF270" s="116"/>
      <c r="AG270" s="116"/>
      <c r="AH270" s="116"/>
      <c r="AI270" s="116"/>
    </row>
    <row r="271" spans="1:35" x14ac:dyDescent="0.25">
      <c r="A271" s="298" t="s">
        <v>213</v>
      </c>
      <c r="B271" s="548">
        <v>2031</v>
      </c>
      <c r="C271" s="116">
        <v>267</v>
      </c>
      <c r="D271" s="458">
        <f t="shared" si="68"/>
        <v>131.95706310710028</v>
      </c>
      <c r="E271" s="116"/>
      <c r="F271" s="468">
        <f t="shared" si="69"/>
        <v>129.495</v>
      </c>
      <c r="G271" s="116"/>
      <c r="H271" s="298" t="s">
        <v>213</v>
      </c>
      <c r="I271" s="548">
        <v>2031</v>
      </c>
      <c r="J271" s="116">
        <v>267</v>
      </c>
      <c r="K271" s="469">
        <f t="shared" si="70"/>
        <v>319.26002037627677</v>
      </c>
      <c r="L271" s="116"/>
      <c r="M271" s="440">
        <f t="shared" si="71"/>
        <v>297.07349999999997</v>
      </c>
      <c r="N271" s="116"/>
      <c r="O271" s="554"/>
      <c r="P271" s="444"/>
      <c r="Q271" s="444"/>
      <c r="R271" s="116"/>
      <c r="S271" s="447"/>
      <c r="T271" s="447"/>
      <c r="U271" s="116"/>
      <c r="V271" s="116"/>
      <c r="W271" s="116"/>
      <c r="X271" s="458"/>
      <c r="Y271" s="116"/>
      <c r="Z271" s="116"/>
      <c r="AA271" s="458"/>
      <c r="AB271" s="116"/>
      <c r="AC271" s="116"/>
      <c r="AD271" s="116"/>
      <c r="AE271" s="458"/>
      <c r="AF271" s="116"/>
      <c r="AG271" s="116"/>
      <c r="AH271" s="116"/>
      <c r="AI271" s="116"/>
    </row>
    <row r="272" spans="1:35" x14ac:dyDescent="0.25">
      <c r="A272" s="298" t="s">
        <v>214</v>
      </c>
      <c r="B272" s="548">
        <v>2031</v>
      </c>
      <c r="C272" s="116">
        <v>268</v>
      </c>
      <c r="D272" s="458">
        <f t="shared" si="68"/>
        <v>132.09624240606198</v>
      </c>
      <c r="E272" s="116"/>
      <c r="F272" s="468">
        <f t="shared" si="69"/>
        <v>129.6</v>
      </c>
      <c r="G272" s="116"/>
      <c r="H272" s="298" t="s">
        <v>214</v>
      </c>
      <c r="I272" s="548">
        <v>2031</v>
      </c>
      <c r="J272" s="116">
        <v>268</v>
      </c>
      <c r="K272" s="469">
        <f t="shared" si="70"/>
        <v>319.75726187303587</v>
      </c>
      <c r="L272" s="116"/>
      <c r="M272" s="440">
        <f t="shared" si="71"/>
        <v>297.38400000000001</v>
      </c>
      <c r="N272" s="116"/>
      <c r="O272" s="554"/>
      <c r="P272" s="444"/>
      <c r="Q272" s="444"/>
      <c r="R272" s="116"/>
      <c r="S272" s="447"/>
      <c r="T272" s="447"/>
      <c r="U272" s="116"/>
      <c r="V272" s="116"/>
      <c r="W272" s="116"/>
      <c r="X272" s="458"/>
      <c r="Y272" s="116"/>
      <c r="Z272" s="116"/>
      <c r="AA272" s="458"/>
      <c r="AB272" s="116"/>
      <c r="AC272" s="116"/>
      <c r="AD272" s="116"/>
      <c r="AE272" s="458"/>
      <c r="AF272" s="116"/>
      <c r="AG272" s="116"/>
      <c r="AH272" s="116"/>
      <c r="AI272" s="116"/>
    </row>
    <row r="273" spans="1:35" x14ac:dyDescent="0.25">
      <c r="A273" s="298" t="s">
        <v>215</v>
      </c>
      <c r="B273" s="548">
        <v>2031</v>
      </c>
      <c r="C273" s="116">
        <v>269</v>
      </c>
      <c r="D273" s="458">
        <f t="shared" si="68"/>
        <v>132.2355685018438</v>
      </c>
      <c r="E273" s="116"/>
      <c r="F273" s="468">
        <f t="shared" si="69"/>
        <v>129.70499999999998</v>
      </c>
      <c r="G273" s="116"/>
      <c r="H273" s="298" t="s">
        <v>215</v>
      </c>
      <c r="I273" s="548">
        <v>2031</v>
      </c>
      <c r="J273" s="116">
        <v>269</v>
      </c>
      <c r="K273" s="469">
        <f t="shared" si="70"/>
        <v>320.25527781410472</v>
      </c>
      <c r="L273" s="116"/>
      <c r="M273" s="440">
        <f t="shared" si="71"/>
        <v>297.69450000000001</v>
      </c>
      <c r="N273" s="116"/>
      <c r="O273" s="554"/>
      <c r="P273" s="444"/>
      <c r="Q273" s="444"/>
      <c r="R273" s="116"/>
      <c r="S273" s="447"/>
      <c r="T273" s="447"/>
      <c r="U273" s="116"/>
      <c r="V273" s="116"/>
      <c r="W273" s="116"/>
      <c r="X273" s="458"/>
      <c r="Y273" s="116"/>
      <c r="Z273" s="116"/>
      <c r="AA273" s="458"/>
      <c r="AB273" s="116"/>
      <c r="AC273" s="116"/>
      <c r="AD273" s="116"/>
      <c r="AE273" s="458"/>
      <c r="AF273" s="116"/>
      <c r="AG273" s="116"/>
      <c r="AH273" s="116"/>
      <c r="AI273" s="116"/>
    </row>
    <row r="274" spans="1:35" x14ac:dyDescent="0.25">
      <c r="A274" s="298" t="s">
        <v>216</v>
      </c>
      <c r="B274" s="548">
        <v>2031</v>
      </c>
      <c r="C274" s="116">
        <v>270</v>
      </c>
      <c r="D274" s="458">
        <f t="shared" si="68"/>
        <v>132.37504154927703</v>
      </c>
      <c r="E274" s="116"/>
      <c r="F274" s="468">
        <f t="shared" si="69"/>
        <v>129.81</v>
      </c>
      <c r="G274" s="116"/>
      <c r="H274" s="298" t="s">
        <v>216</v>
      </c>
      <c r="I274" s="548">
        <v>2031</v>
      </c>
      <c r="J274" s="116">
        <v>270</v>
      </c>
      <c r="K274" s="469">
        <f t="shared" si="70"/>
        <v>320.75406940566575</v>
      </c>
      <c r="L274" s="116"/>
      <c r="M274" s="440">
        <f t="shared" si="71"/>
        <v>298.005</v>
      </c>
      <c r="N274" s="116"/>
      <c r="O274" s="554"/>
      <c r="P274" s="444"/>
      <c r="Q274" s="444"/>
      <c r="R274" s="116"/>
      <c r="S274" s="447"/>
      <c r="T274" s="447"/>
      <c r="U274" s="116"/>
      <c r="V274" s="116"/>
      <c r="W274" s="116"/>
      <c r="X274" s="458"/>
      <c r="Y274" s="116"/>
      <c r="Z274" s="116"/>
      <c r="AA274" s="458"/>
      <c r="AB274" s="116"/>
      <c r="AC274" s="116"/>
      <c r="AD274" s="116"/>
      <c r="AE274" s="458"/>
      <c r="AF274" s="116"/>
      <c r="AG274" s="116"/>
      <c r="AH274" s="116"/>
      <c r="AI274" s="116"/>
    </row>
    <row r="275" spans="1:35" x14ac:dyDescent="0.25">
      <c r="A275" s="298" t="s">
        <v>217</v>
      </c>
      <c r="B275" s="548">
        <v>2031</v>
      </c>
      <c r="C275" s="116">
        <v>271</v>
      </c>
      <c r="D275" s="458">
        <f t="shared" si="68"/>
        <v>132.51466170335624</v>
      </c>
      <c r="E275" s="116"/>
      <c r="F275" s="468">
        <f t="shared" si="69"/>
        <v>129.91499999999999</v>
      </c>
      <c r="G275" s="116"/>
      <c r="H275" s="298" t="s">
        <v>217</v>
      </c>
      <c r="I275" s="548">
        <v>2031</v>
      </c>
      <c r="J275" s="116">
        <v>271</v>
      </c>
      <c r="K275" s="469">
        <f t="shared" si="70"/>
        <v>321.25363785578008</v>
      </c>
      <c r="L275" s="116"/>
      <c r="M275" s="440">
        <f t="shared" si="71"/>
        <v>298.31549999999999</v>
      </c>
      <c r="N275" s="116"/>
      <c r="O275" s="554"/>
      <c r="P275" s="444"/>
      <c r="Q275" s="444"/>
      <c r="R275" s="116"/>
      <c r="S275" s="447"/>
      <c r="T275" s="447"/>
      <c r="U275" s="116"/>
      <c r="V275" s="116"/>
      <c r="W275" s="116"/>
      <c r="X275" s="458"/>
      <c r="Y275" s="116"/>
      <c r="Z275" s="116"/>
      <c r="AA275" s="458"/>
      <c r="AB275" s="116"/>
      <c r="AC275" s="116"/>
      <c r="AD275" s="116"/>
      <c r="AE275" s="458"/>
      <c r="AF275" s="116"/>
      <c r="AG275" s="116"/>
      <c r="AH275" s="116"/>
      <c r="AI275" s="116"/>
    </row>
    <row r="276" spans="1:35" x14ac:dyDescent="0.25">
      <c r="A276" s="298" t="s">
        <v>218</v>
      </c>
      <c r="B276" s="548">
        <v>2031</v>
      </c>
      <c r="C276" s="116">
        <v>272</v>
      </c>
      <c r="D276" s="458">
        <f t="shared" si="68"/>
        <v>132.65442911923947</v>
      </c>
      <c r="E276" s="116"/>
      <c r="F276" s="468">
        <f t="shared" si="69"/>
        <v>130.01999999999998</v>
      </c>
      <c r="G276" s="116"/>
      <c r="H276" s="298" t="s">
        <v>218</v>
      </c>
      <c r="I276" s="548">
        <v>2031</v>
      </c>
      <c r="J276" s="116">
        <v>272</v>
      </c>
      <c r="K276" s="469">
        <f t="shared" si="70"/>
        <v>321.75398437439037</v>
      </c>
      <c r="L276" s="116"/>
      <c r="M276" s="440">
        <f t="shared" si="71"/>
        <v>298.62599999999998</v>
      </c>
      <c r="N276" s="116"/>
      <c r="O276" s="554"/>
      <c r="P276" s="444"/>
      <c r="Q276" s="444"/>
      <c r="R276" s="116"/>
      <c r="S276" s="447"/>
      <c r="T276" s="447"/>
      <c r="U276" s="116"/>
      <c r="V276" s="116"/>
      <c r="W276" s="116"/>
      <c r="X276" s="458"/>
      <c r="Y276" s="116"/>
      <c r="Z276" s="116"/>
      <c r="AA276" s="458"/>
      <c r="AB276" s="116"/>
      <c r="AC276" s="116"/>
      <c r="AD276" s="116"/>
      <c r="AE276" s="458"/>
      <c r="AF276" s="116"/>
      <c r="AG276" s="116"/>
      <c r="AH276" s="116"/>
      <c r="AI276" s="116"/>
    </row>
    <row r="277" spans="1:35" x14ac:dyDescent="0.25">
      <c r="A277" s="298" t="s">
        <v>219</v>
      </c>
      <c r="B277" s="548">
        <v>2031</v>
      </c>
      <c r="C277" s="116">
        <v>273</v>
      </c>
      <c r="D277" s="458">
        <f t="shared" si="68"/>
        <v>132.7943439522484</v>
      </c>
      <c r="E277" s="116"/>
      <c r="F277" s="468">
        <f t="shared" si="69"/>
        <v>130.125</v>
      </c>
      <c r="G277" s="116"/>
      <c r="H277" s="298" t="s">
        <v>219</v>
      </c>
      <c r="I277" s="548">
        <v>2031</v>
      </c>
      <c r="J277" s="116">
        <v>273</v>
      </c>
      <c r="K277" s="469">
        <f t="shared" si="70"/>
        <v>322.25511017332371</v>
      </c>
      <c r="L277" s="116"/>
      <c r="M277" s="440">
        <f t="shared" si="71"/>
        <v>298.93649999999997</v>
      </c>
      <c r="N277" s="116"/>
      <c r="O277" s="554"/>
      <c r="P277" s="444"/>
      <c r="Q277" s="444"/>
      <c r="R277" s="116"/>
      <c r="S277" s="447"/>
      <c r="T277" s="447"/>
      <c r="U277" s="116"/>
      <c r="V277" s="116"/>
      <c r="W277" s="116"/>
      <c r="X277" s="458"/>
      <c r="Y277" s="116"/>
      <c r="Z277" s="116"/>
      <c r="AA277" s="458"/>
      <c r="AB277" s="116"/>
      <c r="AC277" s="116"/>
      <c r="AD277" s="116"/>
      <c r="AE277" s="458"/>
      <c r="AF277" s="116"/>
      <c r="AG277" s="116"/>
      <c r="AH277" s="116"/>
      <c r="AI277" s="116"/>
    </row>
    <row r="278" spans="1:35" x14ac:dyDescent="0.25">
      <c r="A278" s="298" t="s">
        <v>220</v>
      </c>
      <c r="B278" s="548">
        <v>2031</v>
      </c>
      <c r="C278" s="116">
        <v>274</v>
      </c>
      <c r="D278" s="458">
        <f t="shared" si="68"/>
        <v>132.93440635786857</v>
      </c>
      <c r="E278" s="116"/>
      <c r="F278" s="468">
        <f t="shared" si="69"/>
        <v>130.22999999999999</v>
      </c>
      <c r="G278" s="116"/>
      <c r="H278" s="298" t="s">
        <v>220</v>
      </c>
      <c r="I278" s="548">
        <v>2031</v>
      </c>
      <c r="J278" s="116">
        <v>274</v>
      </c>
      <c r="K278" s="469">
        <f t="shared" si="70"/>
        <v>322.7570164662946</v>
      </c>
      <c r="L278" s="116"/>
      <c r="M278" s="440">
        <f t="shared" si="71"/>
        <v>299.24699999999996</v>
      </c>
      <c r="N278" s="116"/>
      <c r="O278" s="554"/>
      <c r="P278" s="444"/>
      <c r="Q278" s="444"/>
      <c r="R278" s="116"/>
      <c r="S278" s="447"/>
      <c r="T278" s="447"/>
      <c r="U278" s="116"/>
      <c r="V278" s="116"/>
      <c r="W278" s="116"/>
      <c r="X278" s="458"/>
      <c r="Y278" s="116"/>
      <c r="Z278" s="116"/>
      <c r="AA278" s="458"/>
      <c r="AB278" s="116"/>
      <c r="AC278" s="116"/>
      <c r="AD278" s="116"/>
      <c r="AE278" s="458"/>
      <c r="AF278" s="116"/>
      <c r="AG278" s="116"/>
      <c r="AH278" s="116"/>
      <c r="AI278" s="116"/>
    </row>
    <row r="279" spans="1:35" x14ac:dyDescent="0.25">
      <c r="A279" s="298" t="s">
        <v>221</v>
      </c>
      <c r="B279" s="548">
        <v>2031</v>
      </c>
      <c r="C279" s="116">
        <v>275</v>
      </c>
      <c r="D279" s="458">
        <f t="shared" si="68"/>
        <v>133.07461649174948</v>
      </c>
      <c r="E279" s="116"/>
      <c r="F279" s="468">
        <f t="shared" si="69"/>
        <v>130.33499999999998</v>
      </c>
      <c r="G279" s="116"/>
      <c r="H279" s="298" t="s">
        <v>221</v>
      </c>
      <c r="I279" s="548">
        <v>2031</v>
      </c>
      <c r="J279" s="116">
        <v>275</v>
      </c>
      <c r="K279" s="469">
        <f t="shared" si="70"/>
        <v>323.25970446890784</v>
      </c>
      <c r="L279" s="116"/>
      <c r="M279" s="440">
        <f t="shared" si="71"/>
        <v>299.5575</v>
      </c>
      <c r="N279" s="116"/>
      <c r="O279" s="554"/>
      <c r="P279" s="444"/>
      <c r="Q279" s="444"/>
      <c r="R279" s="116"/>
      <c r="S279" s="447"/>
      <c r="T279" s="447"/>
      <c r="U279" s="116"/>
      <c r="V279" s="116"/>
      <c r="W279" s="116"/>
      <c r="X279" s="458"/>
      <c r="Y279" s="116"/>
      <c r="Z279" s="116"/>
      <c r="AA279" s="458"/>
      <c r="AB279" s="116"/>
      <c r="AC279" s="116"/>
      <c r="AD279" s="116"/>
      <c r="AE279" s="458"/>
      <c r="AF279" s="116"/>
      <c r="AG279" s="116"/>
      <c r="AH279" s="116"/>
      <c r="AI279" s="116"/>
    </row>
    <row r="280" spans="1:35" x14ac:dyDescent="0.25">
      <c r="A280" s="298" t="s">
        <v>222</v>
      </c>
      <c r="B280" s="548">
        <v>2031</v>
      </c>
      <c r="C280" s="116">
        <v>276</v>
      </c>
      <c r="D280" s="458">
        <f t="shared" si="68"/>
        <v>133.2149745097048</v>
      </c>
      <c r="E280" s="116"/>
      <c r="F280" s="468">
        <f t="shared" si="69"/>
        <v>130.44</v>
      </c>
      <c r="G280" s="116"/>
      <c r="H280" s="298" t="s">
        <v>222</v>
      </c>
      <c r="I280" s="548">
        <v>2031</v>
      </c>
      <c r="J280" s="116">
        <v>276</v>
      </c>
      <c r="K280" s="469">
        <f t="shared" si="70"/>
        <v>323.76317539866153</v>
      </c>
      <c r="L280" s="116"/>
      <c r="M280" s="440">
        <f t="shared" si="71"/>
        <v>299.86799999999999</v>
      </c>
      <c r="N280" s="451"/>
      <c r="O280" s="553"/>
      <c r="P280" s="444"/>
      <c r="Q280" s="444"/>
      <c r="R280" s="451"/>
      <c r="S280" s="454"/>
      <c r="T280" s="454"/>
      <c r="U280" s="451"/>
      <c r="V280" s="451"/>
      <c r="W280" s="451"/>
      <c r="X280" s="458"/>
      <c r="Y280" s="116"/>
      <c r="Z280" s="116"/>
      <c r="AA280" s="458"/>
      <c r="AB280" s="116"/>
      <c r="AC280" s="116"/>
      <c r="AD280" s="116"/>
      <c r="AE280" s="458"/>
      <c r="AF280" s="116"/>
      <c r="AG280" s="116"/>
      <c r="AH280" s="116"/>
      <c r="AI280" s="116"/>
    </row>
    <row r="281" spans="1:35" x14ac:dyDescent="0.25">
      <c r="A281" s="298" t="s">
        <v>211</v>
      </c>
      <c r="B281" s="548">
        <v>2032</v>
      </c>
      <c r="C281" s="116">
        <v>277</v>
      </c>
      <c r="D281" s="458">
        <f t="shared" si="68"/>
        <v>133.35548056771256</v>
      </c>
      <c r="E281" s="116"/>
      <c r="F281" s="468">
        <f t="shared" si="69"/>
        <v>130.54499999999999</v>
      </c>
      <c r="G281" s="116"/>
      <c r="H281" s="298" t="s">
        <v>211</v>
      </c>
      <c r="I281" s="548">
        <v>2032</v>
      </c>
      <c r="J281" s="116">
        <v>277</v>
      </c>
      <c r="K281" s="469">
        <f t="shared" si="70"/>
        <v>324.26743047495006</v>
      </c>
      <c r="L281" s="116"/>
      <c r="M281" s="440">
        <f t="shared" si="71"/>
        <v>300.17849999999999</v>
      </c>
      <c r="N281" s="116"/>
      <c r="O281" s="553"/>
      <c r="P281" s="444"/>
      <c r="Q281" s="444"/>
      <c r="R281" s="116"/>
      <c r="S281" s="454"/>
      <c r="T281" s="454"/>
      <c r="U281" s="116"/>
      <c r="V281" s="116"/>
      <c r="W281" s="116"/>
      <c r="X281" s="116"/>
      <c r="Y281" s="116"/>
      <c r="Z281" s="116"/>
      <c r="AA281" s="116"/>
      <c r="AB281" s="116"/>
      <c r="AC281" s="116"/>
      <c r="AD281" s="116"/>
      <c r="AE281" s="116"/>
      <c r="AF281" s="116"/>
      <c r="AG281" s="116"/>
      <c r="AH281" s="116"/>
      <c r="AI281" s="116"/>
    </row>
    <row r="282" spans="1:35" x14ac:dyDescent="0.25">
      <c r="A282" s="298" t="s">
        <v>212</v>
      </c>
      <c r="B282" s="548">
        <v>2032</v>
      </c>
      <c r="C282" s="116">
        <v>278</v>
      </c>
      <c r="D282" s="458">
        <f t="shared" si="68"/>
        <v>133.49613482191532</v>
      </c>
      <c r="E282" s="116"/>
      <c r="F282" s="468">
        <f t="shared" si="69"/>
        <v>130.64999999999998</v>
      </c>
      <c r="G282" s="116"/>
      <c r="H282" s="298" t="s">
        <v>212</v>
      </c>
      <c r="I282" s="548">
        <v>2032</v>
      </c>
      <c r="J282" s="116">
        <v>278</v>
      </c>
      <c r="K282" s="469">
        <f t="shared" si="70"/>
        <v>324.77247091906696</v>
      </c>
      <c r="L282" s="116"/>
      <c r="M282" s="440">
        <f t="shared" si="71"/>
        <v>300.48899999999998</v>
      </c>
      <c r="N282" s="116"/>
      <c r="O282" s="553"/>
      <c r="P282" s="444"/>
      <c r="Q282" s="444"/>
      <c r="R282" s="116"/>
      <c r="S282" s="454"/>
      <c r="T282" s="454"/>
      <c r="U282" s="116"/>
      <c r="V282" s="116"/>
      <c r="W282" s="116"/>
      <c r="X282" s="116"/>
      <c r="Y282" s="116"/>
      <c r="Z282" s="116"/>
      <c r="AA282" s="116"/>
      <c r="AB282" s="116"/>
      <c r="AC282" s="116"/>
      <c r="AD282" s="116"/>
      <c r="AE282" s="116"/>
      <c r="AF282" s="116"/>
      <c r="AG282" s="116"/>
      <c r="AH282" s="116"/>
      <c r="AI282" s="116"/>
    </row>
    <row r="283" spans="1:35" x14ac:dyDescent="0.25">
      <c r="A283" s="298" t="s">
        <v>213</v>
      </c>
      <c r="B283" s="548">
        <v>2032</v>
      </c>
      <c r="C283" s="116">
        <v>279</v>
      </c>
      <c r="D283" s="458">
        <f t="shared" si="68"/>
        <v>133.63693742862029</v>
      </c>
      <c r="E283" s="116"/>
      <c r="F283" s="468">
        <f t="shared" si="69"/>
        <v>130.755</v>
      </c>
      <c r="G283" s="116"/>
      <c r="H283" s="298" t="s">
        <v>213</v>
      </c>
      <c r="I283" s="548">
        <v>2032</v>
      </c>
      <c r="J283" s="116">
        <v>279</v>
      </c>
      <c r="K283" s="469">
        <f t="shared" si="70"/>
        <v>325.27829795420786</v>
      </c>
      <c r="L283" s="116"/>
      <c r="M283" s="440">
        <f t="shared" si="71"/>
        <v>300.79949999999997</v>
      </c>
      <c r="N283" s="116"/>
      <c r="O283" s="553"/>
      <c r="P283" s="444"/>
      <c r="Q283" s="444"/>
      <c r="R283" s="116"/>
      <c r="S283" s="454"/>
      <c r="T283" s="454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</row>
    <row r="284" spans="1:35" x14ac:dyDescent="0.25">
      <c r="A284" s="298" t="s">
        <v>214</v>
      </c>
      <c r="B284" s="548">
        <v>2032</v>
      </c>
      <c r="C284" s="116">
        <v>280</v>
      </c>
      <c r="D284" s="458">
        <f t="shared" si="68"/>
        <v>133.77788854429954</v>
      </c>
      <c r="E284" s="116"/>
      <c r="F284" s="468">
        <f t="shared" si="69"/>
        <v>130.85999999999999</v>
      </c>
      <c r="G284" s="116"/>
      <c r="H284" s="298" t="s">
        <v>214</v>
      </c>
      <c r="I284" s="548">
        <v>2032</v>
      </c>
      <c r="J284" s="116">
        <v>280</v>
      </c>
      <c r="K284" s="469">
        <f t="shared" si="70"/>
        <v>325.78491280547354</v>
      </c>
      <c r="L284" s="116"/>
      <c r="M284" s="440">
        <f t="shared" si="71"/>
        <v>301.11</v>
      </c>
      <c r="N284" s="116"/>
      <c r="O284" s="553"/>
      <c r="P284" s="444"/>
      <c r="Q284" s="444"/>
      <c r="R284" s="116"/>
      <c r="S284" s="454"/>
      <c r="T284" s="454"/>
      <c r="U284" s="116"/>
      <c r="V284" s="116"/>
      <c r="W284" s="116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</row>
    <row r="285" spans="1:35" x14ac:dyDescent="0.25">
      <c r="A285" s="298" t="s">
        <v>215</v>
      </c>
      <c r="B285" s="548">
        <v>2032</v>
      </c>
      <c r="C285" s="116">
        <v>281</v>
      </c>
      <c r="D285" s="458">
        <f t="shared" si="68"/>
        <v>133.91898832559022</v>
      </c>
      <c r="E285" s="116"/>
      <c r="F285" s="468">
        <f t="shared" si="69"/>
        <v>130.965</v>
      </c>
      <c r="G285" s="116"/>
      <c r="H285" s="298" t="s">
        <v>215</v>
      </c>
      <c r="I285" s="548">
        <v>2032</v>
      </c>
      <c r="J285" s="116">
        <v>281</v>
      </c>
      <c r="K285" s="469">
        <f t="shared" si="70"/>
        <v>326.29231669987286</v>
      </c>
      <c r="L285" s="116"/>
      <c r="M285" s="440">
        <f t="shared" si="71"/>
        <v>301.4205</v>
      </c>
      <c r="N285" s="116"/>
      <c r="O285" s="553"/>
      <c r="P285" s="444"/>
      <c r="Q285" s="444"/>
      <c r="R285" s="116"/>
      <c r="S285" s="454"/>
      <c r="T285" s="454"/>
      <c r="U285" s="116"/>
      <c r="V285" s="116"/>
      <c r="W285" s="116"/>
      <c r="X285" s="116"/>
      <c r="Y285" s="116"/>
      <c r="Z285" s="116"/>
      <c r="AA285" s="116"/>
      <c r="AB285" s="116"/>
      <c r="AC285" s="116"/>
      <c r="AD285" s="116"/>
      <c r="AE285" s="116"/>
      <c r="AF285" s="116"/>
      <c r="AG285" s="116"/>
      <c r="AH285" s="116"/>
      <c r="AI285" s="116"/>
    </row>
    <row r="286" spans="1:35" x14ac:dyDescent="0.25">
      <c r="A286" s="298" t="s">
        <v>216</v>
      </c>
      <c r="B286" s="548">
        <v>2032</v>
      </c>
      <c r="C286" s="116">
        <v>282</v>
      </c>
      <c r="D286" s="458">
        <f t="shared" si="68"/>
        <v>134.06023692929463</v>
      </c>
      <c r="E286" s="116"/>
      <c r="F286" s="468">
        <f t="shared" si="69"/>
        <v>131.07</v>
      </c>
      <c r="G286" s="116"/>
      <c r="H286" s="298" t="s">
        <v>216</v>
      </c>
      <c r="I286" s="548">
        <v>2032</v>
      </c>
      <c r="J286" s="116">
        <v>282</v>
      </c>
      <c r="K286" s="469">
        <f t="shared" si="70"/>
        <v>326.80051086632574</v>
      </c>
      <c r="L286" s="116"/>
      <c r="M286" s="440">
        <f t="shared" si="71"/>
        <v>301.73099999999999</v>
      </c>
      <c r="N286" s="116"/>
      <c r="O286" s="553"/>
      <c r="P286" s="444"/>
      <c r="Q286" s="444"/>
      <c r="R286" s="116"/>
      <c r="S286" s="454"/>
      <c r="T286" s="454"/>
      <c r="U286" s="116"/>
      <c r="V286" s="116"/>
      <c r="W286" s="116"/>
      <c r="X286" s="116"/>
      <c r="Y286" s="116"/>
      <c r="Z286" s="116"/>
      <c r="AA286" s="116"/>
      <c r="AB286" s="116"/>
      <c r="AC286" s="116"/>
      <c r="AD286" s="116"/>
      <c r="AE286" s="116"/>
      <c r="AF286" s="116"/>
      <c r="AG286" s="116"/>
      <c r="AH286" s="116"/>
      <c r="AI286" s="116"/>
    </row>
    <row r="287" spans="1:35" x14ac:dyDescent="0.25">
      <c r="A287" s="298" t="s">
        <v>217</v>
      </c>
      <c r="B287" s="548">
        <v>2032</v>
      </c>
      <c r="C287" s="116">
        <v>283</v>
      </c>
      <c r="D287" s="458">
        <f t="shared" si="68"/>
        <v>134.20163451238054</v>
      </c>
      <c r="E287" s="116"/>
      <c r="F287" s="468">
        <f t="shared" si="69"/>
        <v>131.17499999999998</v>
      </c>
      <c r="G287" s="116"/>
      <c r="H287" s="298" t="s">
        <v>217</v>
      </c>
      <c r="I287" s="548">
        <v>2032</v>
      </c>
      <c r="J287" s="116">
        <v>283</v>
      </c>
      <c r="K287" s="469">
        <f t="shared" si="70"/>
        <v>327.30949653566603</v>
      </c>
      <c r="L287" s="116"/>
      <c r="M287" s="440">
        <f t="shared" si="71"/>
        <v>302.04149999999998</v>
      </c>
      <c r="N287" s="116"/>
      <c r="O287" s="553"/>
      <c r="P287" s="444"/>
      <c r="Q287" s="444"/>
      <c r="R287" s="116"/>
      <c r="S287" s="454"/>
      <c r="T287" s="454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</row>
    <row r="288" spans="1:35" x14ac:dyDescent="0.25">
      <c r="A288" s="298" t="s">
        <v>218</v>
      </c>
      <c r="B288" s="548">
        <v>2032</v>
      </c>
      <c r="C288" s="116">
        <v>284</v>
      </c>
      <c r="D288" s="458">
        <f t="shared" si="68"/>
        <v>134.34318123198119</v>
      </c>
      <c r="E288" s="116"/>
      <c r="F288" s="468">
        <f t="shared" si="69"/>
        <v>131.28</v>
      </c>
      <c r="G288" s="116"/>
      <c r="H288" s="298" t="s">
        <v>218</v>
      </c>
      <c r="I288" s="548">
        <v>2032</v>
      </c>
      <c r="J288" s="116">
        <v>284</v>
      </c>
      <c r="K288" s="469">
        <f t="shared" si="70"/>
        <v>327.81927494064468</v>
      </c>
      <c r="L288" s="116"/>
      <c r="M288" s="440">
        <f t="shared" si="71"/>
        <v>302.35199999999998</v>
      </c>
      <c r="N288" s="116"/>
      <c r="O288" s="553"/>
      <c r="P288" s="444"/>
      <c r="Q288" s="444"/>
      <c r="R288" s="116"/>
      <c r="S288" s="454"/>
      <c r="T288" s="454"/>
      <c r="U288" s="116"/>
      <c r="V288" s="116"/>
      <c r="W288" s="116"/>
      <c r="X288" s="116"/>
      <c r="Y288" s="116"/>
      <c r="Z288" s="116"/>
      <c r="AA288" s="116"/>
      <c r="AB288" s="116"/>
      <c r="AC288" s="116"/>
      <c r="AD288" s="116"/>
      <c r="AE288" s="116"/>
      <c r="AF288" s="116"/>
      <c r="AG288" s="116"/>
      <c r="AH288" s="116"/>
      <c r="AI288" s="116"/>
    </row>
    <row r="289" spans="1:35" x14ac:dyDescent="0.25">
      <c r="A289" s="298" t="s">
        <v>219</v>
      </c>
      <c r="B289" s="548">
        <v>2032</v>
      </c>
      <c r="C289" s="116">
        <v>285</v>
      </c>
      <c r="D289" s="458">
        <f t="shared" si="68"/>
        <v>134.48487724539561</v>
      </c>
      <c r="E289" s="116"/>
      <c r="F289" s="468">
        <f t="shared" si="69"/>
        <v>131.38499999999999</v>
      </c>
      <c r="G289" s="116"/>
      <c r="H289" s="298" t="s">
        <v>219</v>
      </c>
      <c r="I289" s="548">
        <v>2032</v>
      </c>
      <c r="J289" s="116">
        <v>285</v>
      </c>
      <c r="K289" s="469">
        <f t="shared" si="70"/>
        <v>328.32984731593257</v>
      </c>
      <c r="L289" s="116"/>
      <c r="M289" s="440">
        <f t="shared" si="71"/>
        <v>302.66249999999997</v>
      </c>
      <c r="N289" s="116"/>
      <c r="O289" s="553"/>
      <c r="P289" s="444"/>
      <c r="Q289" s="444"/>
      <c r="R289" s="116"/>
      <c r="S289" s="454"/>
      <c r="T289" s="454"/>
      <c r="U289" s="116"/>
      <c r="V289" s="116"/>
      <c r="W289" s="116"/>
      <c r="X289" s="116"/>
      <c r="Y289" s="116"/>
      <c r="Z289" s="116"/>
      <c r="AA289" s="116"/>
      <c r="AB289" s="116"/>
      <c r="AC289" s="116"/>
      <c r="AD289" s="116"/>
      <c r="AE289" s="116"/>
      <c r="AF289" s="116"/>
      <c r="AG289" s="116"/>
      <c r="AH289" s="116"/>
      <c r="AI289" s="116"/>
    </row>
    <row r="290" spans="1:35" x14ac:dyDescent="0.25">
      <c r="A290" s="298" t="s">
        <v>220</v>
      </c>
      <c r="B290" s="548">
        <v>2032</v>
      </c>
      <c r="C290" s="116">
        <v>286</v>
      </c>
      <c r="D290" s="458">
        <f t="shared" si="68"/>
        <v>134.6267227100887</v>
      </c>
      <c r="E290" s="116"/>
      <c r="F290" s="468">
        <f t="shared" si="69"/>
        <v>131.48999999999998</v>
      </c>
      <c r="G290" s="116"/>
      <c r="H290" s="298" t="s">
        <v>220</v>
      </c>
      <c r="I290" s="548">
        <v>2032</v>
      </c>
      <c r="J290" s="116">
        <v>286</v>
      </c>
      <c r="K290" s="469">
        <f t="shared" si="70"/>
        <v>328.84121489812355</v>
      </c>
      <c r="L290" s="116"/>
      <c r="M290" s="440">
        <f t="shared" si="71"/>
        <v>302.97299999999996</v>
      </c>
      <c r="N290" s="116"/>
      <c r="O290" s="553"/>
      <c r="P290" s="444"/>
      <c r="Q290" s="444"/>
      <c r="R290" s="116"/>
      <c r="S290" s="454"/>
      <c r="T290" s="454"/>
      <c r="U290" s="116"/>
      <c r="V290" s="116"/>
      <c r="W290" s="116"/>
      <c r="X290" s="116"/>
      <c r="Y290" s="116"/>
      <c r="Z290" s="116"/>
      <c r="AA290" s="116"/>
      <c r="AB290" s="116"/>
      <c r="AC290" s="116"/>
      <c r="AD290" s="116"/>
      <c r="AE290" s="116"/>
      <c r="AF290" s="116"/>
      <c r="AG290" s="116"/>
      <c r="AH290" s="116"/>
      <c r="AI290" s="116"/>
    </row>
    <row r="291" spans="1:35" x14ac:dyDescent="0.25">
      <c r="A291" s="298" t="s">
        <v>221</v>
      </c>
      <c r="B291" s="548">
        <v>2032</v>
      </c>
      <c r="C291" s="116">
        <v>287</v>
      </c>
      <c r="D291" s="458">
        <f t="shared" si="68"/>
        <v>134.7687177836915</v>
      </c>
      <c r="E291" s="116"/>
      <c r="F291" s="468">
        <f t="shared" si="69"/>
        <v>131.595</v>
      </c>
      <c r="G291" s="116"/>
      <c r="H291" s="298" t="s">
        <v>221</v>
      </c>
      <c r="I291" s="548">
        <v>2032</v>
      </c>
      <c r="J291" s="116">
        <v>287</v>
      </c>
      <c r="K291" s="469">
        <f t="shared" si="70"/>
        <v>329.3533789257375</v>
      </c>
      <c r="L291" s="116"/>
      <c r="M291" s="440">
        <f t="shared" si="71"/>
        <v>303.2835</v>
      </c>
      <c r="N291" s="116"/>
      <c r="O291" s="553"/>
      <c r="P291" s="444"/>
      <c r="Q291" s="444"/>
      <c r="R291" s="116"/>
      <c r="S291" s="454"/>
      <c r="T291" s="454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</row>
    <row r="292" spans="1:35" x14ac:dyDescent="0.25">
      <c r="A292" s="298" t="s">
        <v>222</v>
      </c>
      <c r="B292" s="548">
        <v>2032</v>
      </c>
      <c r="C292" s="116">
        <v>288</v>
      </c>
      <c r="D292" s="458">
        <f t="shared" si="68"/>
        <v>134.91086262400123</v>
      </c>
      <c r="E292" s="116"/>
      <c r="F292" s="468">
        <f t="shared" si="69"/>
        <v>131.69999999999999</v>
      </c>
      <c r="G292" s="116"/>
      <c r="H292" s="298" t="s">
        <v>222</v>
      </c>
      <c r="I292" s="548">
        <v>2032</v>
      </c>
      <c r="J292" s="116">
        <v>288</v>
      </c>
      <c r="K292" s="469">
        <f t="shared" si="70"/>
        <v>329.86634063922327</v>
      </c>
      <c r="L292" s="116"/>
      <c r="M292" s="440">
        <f t="shared" si="71"/>
        <v>303.59399999999999</v>
      </c>
      <c r="N292" s="444"/>
      <c r="O292" s="552"/>
      <c r="P292" s="444"/>
      <c r="Q292" s="444"/>
      <c r="R292" s="444"/>
      <c r="S292" s="447"/>
      <c r="T292" s="447"/>
      <c r="U292" s="444"/>
      <c r="V292" s="444"/>
      <c r="W292" s="444"/>
      <c r="X292" s="116"/>
      <c r="Y292" s="116"/>
      <c r="Z292" s="116"/>
      <c r="AA292" s="116"/>
      <c r="AB292" s="116"/>
      <c r="AC292" s="116"/>
      <c r="AD292" s="116"/>
      <c r="AE292" s="116"/>
      <c r="AF292" s="116"/>
      <c r="AG292" s="116"/>
      <c r="AH292" s="116"/>
      <c r="AI292" s="116"/>
    </row>
    <row r="293" spans="1:35" x14ac:dyDescent="0.25">
      <c r="A293" s="298" t="s">
        <v>211</v>
      </c>
      <c r="B293" s="548">
        <v>2033</v>
      </c>
      <c r="C293" s="116">
        <v>289</v>
      </c>
      <c r="D293" s="458">
        <f t="shared" si="68"/>
        <v>135.05315738898159</v>
      </c>
      <c r="E293" s="116"/>
      <c r="F293" s="468">
        <f t="shared" si="69"/>
        <v>131.80500000000001</v>
      </c>
      <c r="G293" s="116"/>
      <c r="H293" s="298" t="s">
        <v>211</v>
      </c>
      <c r="I293" s="548">
        <v>2033</v>
      </c>
      <c r="J293" s="116">
        <v>289</v>
      </c>
      <c r="K293" s="469">
        <f t="shared" si="70"/>
        <v>330.38010128096158</v>
      </c>
      <c r="L293" s="116"/>
      <c r="M293" s="440">
        <f t="shared" si="71"/>
        <v>303.90449999999998</v>
      </c>
      <c r="N293" s="116"/>
      <c r="O293" s="552"/>
      <c r="P293" s="444"/>
      <c r="Q293" s="444"/>
      <c r="R293" s="116"/>
      <c r="S293" s="447"/>
      <c r="T293" s="447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</row>
    <row r="294" spans="1:35" x14ac:dyDescent="0.25">
      <c r="A294" s="298" t="s">
        <v>212</v>
      </c>
      <c r="B294" s="548">
        <v>2033</v>
      </c>
      <c r="C294" s="116">
        <v>290</v>
      </c>
      <c r="D294" s="458">
        <f t="shared" si="68"/>
        <v>135.19560223676291</v>
      </c>
      <c r="E294" s="116"/>
      <c r="F294" s="468">
        <f t="shared" si="69"/>
        <v>131.91</v>
      </c>
      <c r="G294" s="116"/>
      <c r="H294" s="298" t="s">
        <v>212</v>
      </c>
      <c r="I294" s="548">
        <v>2033</v>
      </c>
      <c r="J294" s="116">
        <v>290</v>
      </c>
      <c r="K294" s="469">
        <f t="shared" si="70"/>
        <v>330.89466209526825</v>
      </c>
      <c r="L294" s="116"/>
      <c r="M294" s="440">
        <f t="shared" si="71"/>
        <v>304.21499999999997</v>
      </c>
      <c r="N294" s="116"/>
      <c r="O294" s="552"/>
      <c r="P294" s="444"/>
      <c r="Q294" s="444"/>
      <c r="R294" s="116"/>
      <c r="S294" s="447"/>
      <c r="T294" s="447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16"/>
      <c r="AE294" s="116"/>
      <c r="AF294" s="116"/>
      <c r="AG294" s="116"/>
      <c r="AH294" s="116"/>
      <c r="AI294" s="116"/>
    </row>
    <row r="295" spans="1:35" x14ac:dyDescent="0.25">
      <c r="A295" s="298" t="s">
        <v>213</v>
      </c>
      <c r="B295" s="548">
        <v>2033</v>
      </c>
      <c r="C295" s="116">
        <v>291</v>
      </c>
      <c r="D295" s="458">
        <f t="shared" si="68"/>
        <v>135.33819732564228</v>
      </c>
      <c r="E295" s="116"/>
      <c r="F295" s="468">
        <f t="shared" si="69"/>
        <v>132.01499999999999</v>
      </c>
      <c r="G295" s="116"/>
      <c r="H295" s="298" t="s">
        <v>213</v>
      </c>
      <c r="I295" s="548">
        <v>2033</v>
      </c>
      <c r="J295" s="116">
        <v>291</v>
      </c>
      <c r="K295" s="469">
        <f t="shared" si="70"/>
        <v>331.41002432839701</v>
      </c>
      <c r="L295" s="116"/>
      <c r="M295" s="440">
        <f t="shared" si="71"/>
        <v>304.52549999999997</v>
      </c>
      <c r="N295" s="116"/>
      <c r="O295" s="552"/>
      <c r="P295" s="444"/>
      <c r="Q295" s="444"/>
      <c r="R295" s="116"/>
      <c r="S295" s="447"/>
      <c r="T295" s="447"/>
      <c r="U295" s="116"/>
      <c r="V295" s="116"/>
      <c r="W295" s="116"/>
      <c r="X295" s="116"/>
      <c r="Y295" s="116"/>
      <c r="Z295" s="116"/>
      <c r="AA295" s="116"/>
      <c r="AB295" s="116"/>
      <c r="AC295" s="116"/>
      <c r="AD295" s="116"/>
      <c r="AE295" s="116"/>
      <c r="AF295" s="116"/>
      <c r="AG295" s="116"/>
      <c r="AH295" s="116"/>
      <c r="AI295" s="116"/>
    </row>
    <row r="296" spans="1:35" x14ac:dyDescent="0.25">
      <c r="A296" s="298" t="s">
        <v>214</v>
      </c>
      <c r="B296" s="548">
        <v>2033</v>
      </c>
      <c r="C296" s="116">
        <v>292</v>
      </c>
      <c r="D296" s="458">
        <f t="shared" si="68"/>
        <v>135.48094281408373</v>
      </c>
      <c r="E296" s="116"/>
      <c r="F296" s="468">
        <f t="shared" si="69"/>
        <v>132.12</v>
      </c>
      <c r="G296" s="116"/>
      <c r="H296" s="298" t="s">
        <v>214</v>
      </c>
      <c r="I296" s="548">
        <v>2033</v>
      </c>
      <c r="J296" s="116">
        <v>292</v>
      </c>
      <c r="K296" s="469">
        <f t="shared" si="70"/>
        <v>331.92618922854268</v>
      </c>
      <c r="L296" s="116"/>
      <c r="M296" s="440">
        <f t="shared" si="71"/>
        <v>304.83600000000001</v>
      </c>
      <c r="N296" s="116"/>
      <c r="O296" s="552"/>
      <c r="P296" s="444"/>
      <c r="Q296" s="444"/>
      <c r="R296" s="116"/>
      <c r="S296" s="447"/>
      <c r="T296" s="447"/>
      <c r="U296" s="116"/>
      <c r="V296" s="116"/>
      <c r="W296" s="116"/>
      <c r="X296" s="116"/>
      <c r="Y296" s="116"/>
      <c r="Z296" s="116"/>
      <c r="AA296" s="116"/>
      <c r="AB296" s="116"/>
      <c r="AC296" s="116"/>
      <c r="AD296" s="116"/>
      <c r="AE296" s="116"/>
      <c r="AF296" s="116"/>
      <c r="AG296" s="116"/>
      <c r="AH296" s="116"/>
      <c r="AI296" s="116"/>
    </row>
    <row r="297" spans="1:35" x14ac:dyDescent="0.25">
      <c r="A297" s="298" t="s">
        <v>215</v>
      </c>
      <c r="B297" s="548">
        <v>2033</v>
      </c>
      <c r="C297" s="116">
        <v>293</v>
      </c>
      <c r="D297" s="458">
        <f t="shared" si="68"/>
        <v>135.62383886071845</v>
      </c>
      <c r="E297" s="116"/>
      <c r="F297" s="468">
        <f t="shared" si="69"/>
        <v>132.22499999999999</v>
      </c>
      <c r="G297" s="116"/>
      <c r="H297" s="298" t="s">
        <v>215</v>
      </c>
      <c r="I297" s="548">
        <v>2033</v>
      </c>
      <c r="J297" s="116">
        <v>293</v>
      </c>
      <c r="K297" s="469">
        <f t="shared" si="70"/>
        <v>332.44315804584409</v>
      </c>
      <c r="L297" s="116"/>
      <c r="M297" s="440">
        <f t="shared" si="71"/>
        <v>305.1465</v>
      </c>
      <c r="N297" s="116"/>
      <c r="O297" s="552"/>
      <c r="P297" s="444"/>
      <c r="Q297" s="444"/>
      <c r="R297" s="116"/>
      <c r="S297" s="447"/>
      <c r="T297" s="447"/>
      <c r="U297" s="116"/>
      <c r="V297" s="116"/>
      <c r="W297" s="116"/>
      <c r="X297" s="116"/>
      <c r="Y297" s="116"/>
      <c r="Z297" s="116"/>
      <c r="AA297" s="116"/>
      <c r="AB297" s="116"/>
      <c r="AC297" s="116"/>
      <c r="AD297" s="116"/>
      <c r="AE297" s="116"/>
      <c r="AF297" s="116"/>
      <c r="AG297" s="116"/>
      <c r="AH297" s="116"/>
      <c r="AI297" s="116"/>
    </row>
    <row r="298" spans="1:35" x14ac:dyDescent="0.25">
      <c r="A298" s="298" t="s">
        <v>216</v>
      </c>
      <c r="B298" s="548">
        <v>2033</v>
      </c>
      <c r="C298" s="116">
        <v>294</v>
      </c>
      <c r="D298" s="458">
        <f t="shared" si="68"/>
        <v>135.76688562434495</v>
      </c>
      <c r="E298" s="116"/>
      <c r="F298" s="468">
        <f t="shared" si="69"/>
        <v>132.32999999999998</v>
      </c>
      <c r="G298" s="116"/>
      <c r="H298" s="298" t="s">
        <v>216</v>
      </c>
      <c r="I298" s="548">
        <v>2033</v>
      </c>
      <c r="J298" s="116">
        <v>294</v>
      </c>
      <c r="K298" s="469">
        <f t="shared" si="70"/>
        <v>332.96093203238712</v>
      </c>
      <c r="L298" s="116"/>
      <c r="M298" s="440">
        <f t="shared" si="71"/>
        <v>305.45699999999999</v>
      </c>
      <c r="N298" s="116"/>
      <c r="O298" s="552"/>
      <c r="P298" s="444"/>
      <c r="Q298" s="444"/>
      <c r="R298" s="116"/>
      <c r="S298" s="447"/>
      <c r="T298" s="447"/>
      <c r="U298" s="116"/>
      <c r="V298" s="116"/>
      <c r="W298" s="116"/>
      <c r="X298" s="116"/>
      <c r="Y298" s="116"/>
      <c r="Z298" s="116"/>
      <c r="AA298" s="116"/>
      <c r="AB298" s="116"/>
      <c r="AC298" s="116"/>
      <c r="AD298" s="116"/>
      <c r="AE298" s="116"/>
      <c r="AF298" s="116"/>
      <c r="AG298" s="116"/>
      <c r="AH298" s="116"/>
      <c r="AI298" s="116"/>
    </row>
    <row r="299" spans="1:35" x14ac:dyDescent="0.25">
      <c r="A299" s="298" t="s">
        <v>217</v>
      </c>
      <c r="B299" s="548">
        <v>2033</v>
      </c>
      <c r="C299" s="116">
        <v>295</v>
      </c>
      <c r="D299" s="458">
        <f t="shared" si="68"/>
        <v>135.91008326392921</v>
      </c>
      <c r="E299" s="116"/>
      <c r="F299" s="468">
        <f t="shared" si="69"/>
        <v>132.435</v>
      </c>
      <c r="G299" s="116"/>
      <c r="H299" s="298" t="s">
        <v>217</v>
      </c>
      <c r="I299" s="548">
        <v>2033</v>
      </c>
      <c r="J299" s="116">
        <v>295</v>
      </c>
      <c r="K299" s="469">
        <f t="shared" si="70"/>
        <v>333.47951244220781</v>
      </c>
      <c r="L299" s="116"/>
      <c r="M299" s="440">
        <f t="shared" si="71"/>
        <v>305.76749999999998</v>
      </c>
      <c r="N299" s="116"/>
      <c r="O299" s="552"/>
      <c r="P299" s="444"/>
      <c r="Q299" s="444"/>
      <c r="R299" s="116"/>
      <c r="S299" s="447"/>
      <c r="T299" s="447"/>
      <c r="U299" s="116"/>
      <c r="V299" s="116"/>
      <c r="W299" s="116"/>
      <c r="X299" s="116"/>
      <c r="Y299" s="116"/>
      <c r="Z299" s="116"/>
      <c r="AA299" s="116"/>
      <c r="AB299" s="116"/>
      <c r="AC299" s="116"/>
      <c r="AD299" s="116"/>
      <c r="AE299" s="116"/>
      <c r="AF299" s="116"/>
      <c r="AG299" s="116"/>
      <c r="AH299" s="116"/>
      <c r="AI299" s="116"/>
    </row>
    <row r="300" spans="1:35" x14ac:dyDescent="0.25">
      <c r="A300" s="298" t="s">
        <v>218</v>
      </c>
      <c r="B300" s="548">
        <v>2033</v>
      </c>
      <c r="C300" s="116">
        <v>296</v>
      </c>
      <c r="D300" s="458">
        <f t="shared" si="68"/>
        <v>136.05343193860489</v>
      </c>
      <c r="E300" s="116"/>
      <c r="F300" s="468">
        <f t="shared" si="69"/>
        <v>132.54</v>
      </c>
      <c r="G300" s="116"/>
      <c r="H300" s="298" t="s">
        <v>218</v>
      </c>
      <c r="I300" s="548">
        <v>2033</v>
      </c>
      <c r="J300" s="116">
        <v>296</v>
      </c>
      <c r="K300" s="469">
        <f t="shared" si="70"/>
        <v>333.99890053129531</v>
      </c>
      <c r="L300" s="116"/>
      <c r="M300" s="440">
        <f t="shared" si="71"/>
        <v>306.07799999999997</v>
      </c>
      <c r="N300" s="116"/>
      <c r="O300" s="552"/>
      <c r="P300" s="444"/>
      <c r="Q300" s="444"/>
      <c r="R300" s="116"/>
      <c r="S300" s="447"/>
      <c r="T300" s="447"/>
      <c r="U300" s="116"/>
      <c r="V300" s="116"/>
      <c r="W300" s="116"/>
      <c r="X300" s="116"/>
      <c r="Y300" s="116"/>
      <c r="Z300" s="116"/>
      <c r="AA300" s="116"/>
      <c r="AB300" s="116"/>
      <c r="AC300" s="116"/>
      <c r="AD300" s="116"/>
      <c r="AE300" s="116"/>
      <c r="AF300" s="116"/>
      <c r="AG300" s="116"/>
      <c r="AH300" s="116"/>
      <c r="AI300" s="116"/>
    </row>
    <row r="301" spans="1:35" x14ac:dyDescent="0.25">
      <c r="A301" s="298" t="s">
        <v>219</v>
      </c>
      <c r="B301" s="548">
        <v>2033</v>
      </c>
      <c r="C301" s="116">
        <v>297</v>
      </c>
      <c r="D301" s="458">
        <f t="shared" si="68"/>
        <v>136.19693180767351</v>
      </c>
      <c r="E301" s="116"/>
      <c r="F301" s="468">
        <f t="shared" si="69"/>
        <v>132.64499999999998</v>
      </c>
      <c r="G301" s="116"/>
      <c r="H301" s="298" t="s">
        <v>219</v>
      </c>
      <c r="I301" s="548">
        <v>2033</v>
      </c>
      <c r="J301" s="116">
        <v>297</v>
      </c>
      <c r="K301" s="469">
        <f t="shared" si="70"/>
        <v>334.51909755759488</v>
      </c>
      <c r="L301" s="116"/>
      <c r="M301" s="440">
        <f t="shared" si="71"/>
        <v>306.38850000000002</v>
      </c>
      <c r="N301" s="116"/>
      <c r="O301" s="552"/>
      <c r="P301" s="444"/>
      <c r="Q301" s="444"/>
      <c r="R301" s="116"/>
      <c r="S301" s="447"/>
      <c r="T301" s="447"/>
      <c r="U301" s="116"/>
      <c r="V301" s="116"/>
      <c r="W301" s="116"/>
      <c r="X301" s="116"/>
      <c r="Y301" s="116"/>
      <c r="Z301" s="116"/>
      <c r="AA301" s="116"/>
      <c r="AB301" s="116"/>
      <c r="AC301" s="116"/>
      <c r="AD301" s="116"/>
      <c r="AE301" s="116"/>
      <c r="AF301" s="116"/>
      <c r="AG301" s="116"/>
      <c r="AH301" s="116"/>
      <c r="AI301" s="116"/>
    </row>
    <row r="302" spans="1:35" x14ac:dyDescent="0.25">
      <c r="A302" s="298" t="s">
        <v>220</v>
      </c>
      <c r="B302" s="548">
        <v>2033</v>
      </c>
      <c r="C302" s="116">
        <v>298</v>
      </c>
      <c r="D302" s="458">
        <f t="shared" si="68"/>
        <v>136.34058303060456</v>
      </c>
      <c r="E302" s="116"/>
      <c r="F302" s="468">
        <f t="shared" si="69"/>
        <v>132.75</v>
      </c>
      <c r="G302" s="116"/>
      <c r="H302" s="298" t="s">
        <v>220</v>
      </c>
      <c r="I302" s="548">
        <v>2033</v>
      </c>
      <c r="J302" s="116">
        <v>298</v>
      </c>
      <c r="K302" s="469">
        <f t="shared" si="70"/>
        <v>335.04010478101111</v>
      </c>
      <c r="L302" s="116"/>
      <c r="M302" s="440">
        <f t="shared" si="71"/>
        <v>306.69899999999996</v>
      </c>
      <c r="N302" s="116"/>
      <c r="O302" s="552"/>
      <c r="P302" s="444"/>
      <c r="Q302" s="444"/>
      <c r="R302" s="116"/>
      <c r="S302" s="447"/>
      <c r="T302" s="447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</row>
    <row r="303" spans="1:35" x14ac:dyDescent="0.25">
      <c r="A303" s="298" t="s">
        <v>221</v>
      </c>
      <c r="B303" s="548">
        <v>2033</v>
      </c>
      <c r="C303" s="116">
        <v>299</v>
      </c>
      <c r="D303" s="458">
        <f t="shared" si="68"/>
        <v>136.48438576703577</v>
      </c>
      <c r="E303" s="116"/>
      <c r="F303" s="468">
        <f t="shared" si="69"/>
        <v>132.85499999999999</v>
      </c>
      <c r="G303" s="116"/>
      <c r="H303" s="298" t="s">
        <v>221</v>
      </c>
      <c r="I303" s="548">
        <v>2033</v>
      </c>
      <c r="J303" s="116">
        <v>299</v>
      </c>
      <c r="K303" s="469">
        <f t="shared" si="70"/>
        <v>335.56192346341078</v>
      </c>
      <c r="L303" s="116"/>
      <c r="M303" s="440">
        <f t="shared" si="71"/>
        <v>307.0095</v>
      </c>
      <c r="N303" s="116"/>
      <c r="O303" s="552"/>
      <c r="P303" s="444"/>
      <c r="Q303" s="444"/>
      <c r="R303" s="116"/>
      <c r="S303" s="447"/>
      <c r="T303" s="447"/>
      <c r="U303" s="116"/>
      <c r="V303" s="116"/>
      <c r="W303" s="116"/>
      <c r="X303" s="116"/>
      <c r="Y303" s="116"/>
      <c r="Z303" s="116"/>
      <c r="AA303" s="116"/>
      <c r="AB303" s="116"/>
      <c r="AC303" s="116"/>
      <c r="AD303" s="116"/>
      <c r="AE303" s="116"/>
      <c r="AF303" s="116"/>
      <c r="AG303" s="116"/>
      <c r="AH303" s="116"/>
      <c r="AI303" s="116"/>
    </row>
    <row r="304" spans="1:35" x14ac:dyDescent="0.25">
      <c r="A304" s="298" t="s">
        <v>222</v>
      </c>
      <c r="B304" s="548">
        <v>2033</v>
      </c>
      <c r="C304" s="116">
        <v>300</v>
      </c>
      <c r="D304" s="458">
        <f t="shared" si="68"/>
        <v>136.62834017677324</v>
      </c>
      <c r="E304" s="116"/>
      <c r="F304" s="468">
        <f t="shared" si="69"/>
        <v>132.95999999999998</v>
      </c>
      <c r="G304" s="116"/>
      <c r="H304" s="298" t="s">
        <v>222</v>
      </c>
      <c r="I304" s="548">
        <v>2033</v>
      </c>
      <c r="J304" s="116">
        <v>300</v>
      </c>
      <c r="K304" s="469">
        <f t="shared" si="70"/>
        <v>336.08455486862607</v>
      </c>
      <c r="L304" s="116"/>
      <c r="M304" s="440">
        <f t="shared" si="71"/>
        <v>307.32</v>
      </c>
      <c r="N304" s="451"/>
      <c r="O304" s="553"/>
      <c r="P304" s="444"/>
      <c r="Q304" s="444"/>
      <c r="R304" s="451"/>
      <c r="S304" s="454"/>
      <c r="T304" s="454"/>
      <c r="U304" s="451"/>
      <c r="V304" s="451"/>
      <c r="W304" s="451"/>
      <c r="X304" s="116"/>
      <c r="Y304" s="116"/>
      <c r="Z304" s="116"/>
      <c r="AA304" s="116"/>
      <c r="AB304" s="116"/>
      <c r="AC304" s="116"/>
      <c r="AD304" s="116"/>
      <c r="AE304" s="116"/>
      <c r="AF304" s="116"/>
      <c r="AG304" s="116"/>
      <c r="AH304" s="116"/>
      <c r="AI304" s="116"/>
    </row>
    <row r="305" spans="1:35" x14ac:dyDescent="0.25">
      <c r="A305" s="298" t="s">
        <v>211</v>
      </c>
      <c r="B305" s="548">
        <v>2034</v>
      </c>
      <c r="C305" s="116">
        <v>301</v>
      </c>
      <c r="D305" s="458">
        <f t="shared" si="68"/>
        <v>136.77244641979161</v>
      </c>
      <c r="E305" s="116"/>
      <c r="F305" s="468">
        <f t="shared" si="69"/>
        <v>133.065</v>
      </c>
      <c r="G305" s="116"/>
      <c r="H305" s="298" t="s">
        <v>211</v>
      </c>
      <c r="I305" s="548">
        <v>2034</v>
      </c>
      <c r="J305" s="116">
        <v>301</v>
      </c>
      <c r="K305" s="469">
        <f t="shared" si="70"/>
        <v>336.60800026245755</v>
      </c>
      <c r="L305" s="116"/>
      <c r="M305" s="440">
        <f t="shared" si="71"/>
        <v>307.63049999999998</v>
      </c>
      <c r="N305" s="116"/>
      <c r="O305" s="553"/>
      <c r="P305" s="444"/>
      <c r="Q305" s="444"/>
      <c r="R305" s="116"/>
      <c r="S305" s="454"/>
      <c r="T305" s="454"/>
      <c r="U305" s="116"/>
      <c r="V305" s="116"/>
      <c r="W305" s="116"/>
      <c r="X305" s="116"/>
      <c r="Y305" s="116"/>
      <c r="Z305" s="116"/>
      <c r="AA305" s="116"/>
      <c r="AB305" s="116"/>
      <c r="AC305" s="116"/>
      <c r="AD305" s="116"/>
      <c r="AE305" s="116"/>
      <c r="AF305" s="116"/>
      <c r="AG305" s="116"/>
      <c r="AH305" s="116"/>
      <c r="AI305" s="116"/>
    </row>
    <row r="306" spans="1:35" x14ac:dyDescent="0.25">
      <c r="A306" s="298" t="s">
        <v>212</v>
      </c>
      <c r="B306" s="548">
        <v>2034</v>
      </c>
      <c r="C306" s="116">
        <v>302</v>
      </c>
      <c r="D306" s="458">
        <f t="shared" si="68"/>
        <v>136.91670465623426</v>
      </c>
      <c r="E306" s="116"/>
      <c r="F306" s="468">
        <f t="shared" si="69"/>
        <v>133.16999999999999</v>
      </c>
      <c r="G306" s="116"/>
      <c r="H306" s="298" t="s">
        <v>212</v>
      </c>
      <c r="I306" s="548">
        <v>2034</v>
      </c>
      <c r="J306" s="116">
        <v>302</v>
      </c>
      <c r="K306" s="469">
        <f t="shared" si="70"/>
        <v>337.13226091267717</v>
      </c>
      <c r="L306" s="116"/>
      <c r="M306" s="440">
        <f t="shared" si="71"/>
        <v>307.94099999999997</v>
      </c>
      <c r="N306" s="116"/>
      <c r="O306" s="553"/>
      <c r="P306" s="444"/>
      <c r="Q306" s="444"/>
      <c r="R306" s="116"/>
      <c r="S306" s="454"/>
      <c r="T306" s="454"/>
      <c r="U306" s="116"/>
      <c r="V306" s="116"/>
      <c r="W306" s="116"/>
      <c r="X306" s="116"/>
      <c r="Y306" s="116"/>
      <c r="Z306" s="116"/>
      <c r="AA306" s="116"/>
      <c r="AB306" s="116"/>
      <c r="AC306" s="116"/>
      <c r="AD306" s="116"/>
      <c r="AE306" s="116"/>
      <c r="AF306" s="116"/>
      <c r="AG306" s="116"/>
      <c r="AH306" s="116"/>
      <c r="AI306" s="116"/>
    </row>
    <row r="307" spans="1:35" x14ac:dyDescent="0.25">
      <c r="A307" s="298" t="s">
        <v>213</v>
      </c>
      <c r="B307" s="548">
        <v>2034</v>
      </c>
      <c r="C307" s="116">
        <v>303</v>
      </c>
      <c r="D307" s="458">
        <f t="shared" si="68"/>
        <v>137.06111504641348</v>
      </c>
      <c r="E307" s="116"/>
      <c r="F307" s="468">
        <f t="shared" si="69"/>
        <v>133.27499999999998</v>
      </c>
      <c r="G307" s="116"/>
      <c r="H307" s="298" t="s">
        <v>213</v>
      </c>
      <c r="I307" s="548">
        <v>2034</v>
      </c>
      <c r="J307" s="116">
        <v>303</v>
      </c>
      <c r="K307" s="469">
        <f t="shared" si="70"/>
        <v>337.6573380890315</v>
      </c>
      <c r="L307" s="116"/>
      <c r="M307" s="440">
        <f t="shared" si="71"/>
        <v>308.25149999999996</v>
      </c>
      <c r="N307" s="116"/>
      <c r="O307" s="553"/>
      <c r="P307" s="444"/>
      <c r="Q307" s="444"/>
      <c r="R307" s="116"/>
      <c r="S307" s="454"/>
      <c r="T307" s="454"/>
      <c r="U307" s="116"/>
      <c r="V307" s="116"/>
      <c r="W307" s="116"/>
      <c r="X307" s="116"/>
      <c r="Y307" s="116"/>
      <c r="Z307" s="116"/>
      <c r="AA307" s="116"/>
      <c r="AB307" s="116"/>
      <c r="AC307" s="116"/>
      <c r="AD307" s="116"/>
      <c r="AE307" s="116"/>
      <c r="AF307" s="116"/>
      <c r="AG307" s="116"/>
      <c r="AH307" s="116"/>
      <c r="AI307" s="116"/>
    </row>
    <row r="308" spans="1:35" x14ac:dyDescent="0.25">
      <c r="A308" s="298" t="s">
        <v>214</v>
      </c>
      <c r="B308" s="548">
        <v>2034</v>
      </c>
      <c r="C308" s="116">
        <v>304</v>
      </c>
      <c r="D308" s="458">
        <f t="shared" si="68"/>
        <v>137.20567775081062</v>
      </c>
      <c r="E308" s="116"/>
      <c r="F308" s="468">
        <f t="shared" si="69"/>
        <v>133.38</v>
      </c>
      <c r="G308" s="116"/>
      <c r="H308" s="298" t="s">
        <v>214</v>
      </c>
      <c r="I308" s="548">
        <v>2034</v>
      </c>
      <c r="J308" s="116">
        <v>304</v>
      </c>
      <c r="K308" s="469">
        <f t="shared" si="70"/>
        <v>338.1832330632447</v>
      </c>
      <c r="L308" s="116"/>
      <c r="M308" s="440">
        <f t="shared" si="71"/>
        <v>308.56200000000001</v>
      </c>
      <c r="N308" s="116"/>
      <c r="O308" s="553"/>
      <c r="P308" s="444"/>
      <c r="Q308" s="444"/>
      <c r="R308" s="116"/>
      <c r="S308" s="454"/>
      <c r="T308" s="454"/>
      <c r="U308" s="116"/>
      <c r="V308" s="116"/>
      <c r="W308" s="116"/>
      <c r="X308" s="116"/>
      <c r="Y308" s="116"/>
      <c r="Z308" s="116"/>
      <c r="AA308" s="116"/>
      <c r="AB308" s="116"/>
      <c r="AC308" s="116"/>
      <c r="AD308" s="116"/>
      <c r="AE308" s="116"/>
      <c r="AF308" s="116"/>
      <c r="AG308" s="116"/>
      <c r="AH308" s="116"/>
      <c r="AI308" s="116"/>
    </row>
    <row r="309" spans="1:35" x14ac:dyDescent="0.25">
      <c r="A309" s="298" t="s">
        <v>215</v>
      </c>
      <c r="B309" s="548">
        <v>2034</v>
      </c>
      <c r="C309" s="116">
        <v>305</v>
      </c>
      <c r="D309" s="458">
        <f t="shared" si="68"/>
        <v>137.35039293007634</v>
      </c>
      <c r="E309" s="116"/>
      <c r="F309" s="468">
        <f t="shared" si="69"/>
        <v>133.48499999999999</v>
      </c>
      <c r="G309" s="116"/>
      <c r="H309" s="298" t="s">
        <v>215</v>
      </c>
      <c r="I309" s="548">
        <v>2034</v>
      </c>
      <c r="J309" s="116">
        <v>305</v>
      </c>
      <c r="K309" s="469">
        <f t="shared" si="70"/>
        <v>338.70994710902158</v>
      </c>
      <c r="L309" s="116"/>
      <c r="M309" s="440">
        <f t="shared" si="71"/>
        <v>308.8725</v>
      </c>
      <c r="N309" s="116"/>
      <c r="O309" s="553"/>
      <c r="P309" s="444"/>
      <c r="Q309" s="444"/>
      <c r="R309" s="116"/>
      <c r="S309" s="454"/>
      <c r="T309" s="454"/>
      <c r="U309" s="116"/>
      <c r="V309" s="116"/>
      <c r="W309" s="116"/>
      <c r="X309" s="116"/>
      <c r="Y309" s="116"/>
      <c r="Z309" s="116"/>
      <c r="AA309" s="116"/>
      <c r="AB309" s="116"/>
      <c r="AC309" s="116"/>
      <c r="AD309" s="116"/>
      <c r="AE309" s="116"/>
      <c r="AF309" s="116"/>
      <c r="AG309" s="116"/>
      <c r="AH309" s="116"/>
      <c r="AI309" s="116"/>
    </row>
    <row r="310" spans="1:35" x14ac:dyDescent="0.25">
      <c r="A310" s="298" t="s">
        <v>216</v>
      </c>
      <c r="B310" s="548">
        <v>2034</v>
      </c>
      <c r="C310" s="116">
        <v>306</v>
      </c>
      <c r="D310" s="458">
        <f t="shared" si="68"/>
        <v>137.49526074503069</v>
      </c>
      <c r="E310" s="116"/>
      <c r="F310" s="468">
        <f t="shared" si="69"/>
        <v>133.58999999999997</v>
      </c>
      <c r="G310" s="116"/>
      <c r="H310" s="298" t="s">
        <v>216</v>
      </c>
      <c r="I310" s="548">
        <v>2034</v>
      </c>
      <c r="J310" s="116">
        <v>306</v>
      </c>
      <c r="K310" s="469">
        <f t="shared" si="70"/>
        <v>339.2374815020508</v>
      </c>
      <c r="L310" s="116"/>
      <c r="M310" s="440">
        <f t="shared" si="71"/>
        <v>309.18299999999999</v>
      </c>
      <c r="N310" s="116"/>
      <c r="O310" s="553"/>
      <c r="P310" s="444"/>
      <c r="Q310" s="444"/>
      <c r="R310" s="116"/>
      <c r="S310" s="454"/>
      <c r="T310" s="454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</row>
    <row r="311" spans="1:35" x14ac:dyDescent="0.25">
      <c r="A311" s="298" t="s">
        <v>217</v>
      </c>
      <c r="B311" s="548">
        <v>2034</v>
      </c>
      <c r="C311" s="116">
        <v>307</v>
      </c>
      <c r="D311" s="458">
        <f t="shared" si="68"/>
        <v>137.64028135666339</v>
      </c>
      <c r="E311" s="116"/>
      <c r="F311" s="468">
        <f t="shared" si="69"/>
        <v>133.69499999999999</v>
      </c>
      <c r="G311" s="116"/>
      <c r="H311" s="298" t="s">
        <v>217</v>
      </c>
      <c r="I311" s="548">
        <v>2034</v>
      </c>
      <c r="J311" s="116">
        <v>307</v>
      </c>
      <c r="K311" s="469">
        <f t="shared" si="70"/>
        <v>339.76583752000778</v>
      </c>
      <c r="L311" s="116"/>
      <c r="M311" s="440">
        <f t="shared" si="71"/>
        <v>309.49349999999998</v>
      </c>
      <c r="N311" s="116"/>
      <c r="O311" s="553"/>
      <c r="P311" s="444"/>
      <c r="Q311" s="444"/>
      <c r="R311" s="116"/>
      <c r="S311" s="454"/>
      <c r="T311" s="454"/>
      <c r="U311" s="116"/>
      <c r="V311" s="116"/>
      <c r="W311" s="116"/>
      <c r="X311" s="116"/>
      <c r="Y311" s="116"/>
      <c r="Z311" s="116"/>
      <c r="AA311" s="116"/>
      <c r="AB311" s="116"/>
      <c r="AC311" s="116"/>
      <c r="AD311" s="116"/>
      <c r="AE311" s="116"/>
      <c r="AF311" s="116"/>
      <c r="AG311" s="116"/>
      <c r="AH311" s="116"/>
      <c r="AI311" s="116"/>
    </row>
    <row r="312" spans="1:35" x14ac:dyDescent="0.25">
      <c r="A312" s="298" t="s">
        <v>218</v>
      </c>
      <c r="B312" s="548">
        <v>2034</v>
      </c>
      <c r="C312" s="116">
        <v>308</v>
      </c>
      <c r="D312" s="458">
        <f t="shared" si="68"/>
        <v>137.78545492613395</v>
      </c>
      <c r="E312" s="116"/>
      <c r="F312" s="468">
        <f t="shared" si="69"/>
        <v>133.79999999999998</v>
      </c>
      <c r="G312" s="116"/>
      <c r="H312" s="298" t="s">
        <v>218</v>
      </c>
      <c r="I312" s="548">
        <v>2034</v>
      </c>
      <c r="J312" s="116">
        <v>308</v>
      </c>
      <c r="K312" s="469">
        <f t="shared" si="70"/>
        <v>340.29501644255794</v>
      </c>
      <c r="L312" s="116"/>
      <c r="M312" s="440">
        <f t="shared" si="71"/>
        <v>309.80399999999997</v>
      </c>
      <c r="N312" s="116"/>
      <c r="O312" s="553"/>
      <c r="P312" s="444"/>
      <c r="Q312" s="444"/>
      <c r="R312" s="116"/>
      <c r="S312" s="454"/>
      <c r="T312" s="454"/>
      <c r="U312" s="116"/>
      <c r="V312" s="116"/>
      <c r="W312" s="116"/>
      <c r="X312" s="116"/>
      <c r="Y312" s="116"/>
      <c r="Z312" s="116"/>
      <c r="AA312" s="116"/>
      <c r="AB312" s="116"/>
      <c r="AC312" s="116"/>
      <c r="AD312" s="116"/>
      <c r="AE312" s="116"/>
      <c r="AF312" s="116"/>
      <c r="AG312" s="116"/>
      <c r="AH312" s="116"/>
      <c r="AI312" s="116"/>
    </row>
    <row r="313" spans="1:35" x14ac:dyDescent="0.25">
      <c r="A313" s="298" t="s">
        <v>219</v>
      </c>
      <c r="B313" s="548">
        <v>2034</v>
      </c>
      <c r="C313" s="116">
        <v>309</v>
      </c>
      <c r="D313" s="458">
        <f t="shared" ref="D313:D328" si="72">D312*(1+$E$120)</f>
        <v>137.93078161477186</v>
      </c>
      <c r="E313" s="116"/>
      <c r="F313" s="468">
        <f t="shared" ref="F313:F328" si="73">0.105*C313+101.46</f>
        <v>133.905</v>
      </c>
      <c r="G313" s="116"/>
      <c r="H313" s="298" t="s">
        <v>219</v>
      </c>
      <c r="I313" s="548">
        <v>2034</v>
      </c>
      <c r="J313" s="116">
        <v>309</v>
      </c>
      <c r="K313" s="469">
        <f t="shared" ref="K313:K328" si="74">K312*(1+$L$120)</f>
        <v>340.82501955135979</v>
      </c>
      <c r="L313" s="116"/>
      <c r="M313" s="440">
        <f t="shared" ref="M313:M328" si="75">0.3105*J313+214.17</f>
        <v>310.11450000000002</v>
      </c>
      <c r="N313" s="116"/>
      <c r="O313" s="553"/>
      <c r="P313" s="444"/>
      <c r="Q313" s="444"/>
      <c r="R313" s="116"/>
      <c r="S313" s="454"/>
      <c r="T313" s="454"/>
      <c r="U313" s="116"/>
      <c r="V313" s="116"/>
      <c r="W313" s="116"/>
      <c r="X313" s="116"/>
      <c r="Y313" s="116"/>
      <c r="Z313" s="116"/>
      <c r="AA313" s="116"/>
      <c r="AB313" s="116"/>
      <c r="AC313" s="116"/>
      <c r="AD313" s="116"/>
      <c r="AE313" s="116"/>
      <c r="AF313" s="116"/>
      <c r="AG313" s="116"/>
      <c r="AH313" s="116"/>
      <c r="AI313" s="116"/>
    </row>
    <row r="314" spans="1:35" x14ac:dyDescent="0.25">
      <c r="A314" s="298" t="s">
        <v>220</v>
      </c>
      <c r="B314" s="548">
        <v>2034</v>
      </c>
      <c r="C314" s="116">
        <v>310</v>
      </c>
      <c r="D314" s="458">
        <f t="shared" si="72"/>
        <v>138.07626158407675</v>
      </c>
      <c r="E314" s="116"/>
      <c r="F314" s="468">
        <f t="shared" si="73"/>
        <v>134.01</v>
      </c>
      <c r="G314" s="116"/>
      <c r="H314" s="298" t="s">
        <v>220</v>
      </c>
      <c r="I314" s="548">
        <v>2034</v>
      </c>
      <c r="J314" s="116">
        <v>310</v>
      </c>
      <c r="K314" s="469">
        <f t="shared" si="74"/>
        <v>341.35584813006795</v>
      </c>
      <c r="L314" s="116"/>
      <c r="M314" s="440">
        <f t="shared" si="75"/>
        <v>310.42499999999995</v>
      </c>
      <c r="N314" s="116"/>
      <c r="O314" s="553"/>
      <c r="P314" s="444"/>
      <c r="Q314" s="444"/>
      <c r="R314" s="116"/>
      <c r="S314" s="454"/>
      <c r="T314" s="454"/>
      <c r="U314" s="116"/>
      <c r="V314" s="116"/>
      <c r="W314" s="116"/>
      <c r="X314" s="116"/>
      <c r="Y314" s="116"/>
      <c r="Z314" s="116"/>
      <c r="AA314" s="116"/>
      <c r="AB314" s="116"/>
      <c r="AC314" s="116"/>
      <c r="AD314" s="116"/>
      <c r="AE314" s="116"/>
      <c r="AF314" s="116"/>
      <c r="AG314" s="116"/>
      <c r="AH314" s="116"/>
      <c r="AI314" s="116"/>
    </row>
    <row r="315" spans="1:35" x14ac:dyDescent="0.25">
      <c r="A315" s="298" t="s">
        <v>221</v>
      </c>
      <c r="B315" s="548">
        <v>2034</v>
      </c>
      <c r="C315" s="116">
        <v>311</v>
      </c>
      <c r="D315" s="458">
        <f t="shared" si="72"/>
        <v>138.22189499571857</v>
      </c>
      <c r="E315" s="116"/>
      <c r="F315" s="468">
        <f t="shared" si="73"/>
        <v>134.11500000000001</v>
      </c>
      <c r="G315" s="116"/>
      <c r="H315" s="298" t="s">
        <v>221</v>
      </c>
      <c r="I315" s="548">
        <v>2034</v>
      </c>
      <c r="J315" s="116">
        <v>311</v>
      </c>
      <c r="K315" s="469">
        <f t="shared" si="74"/>
        <v>341.88750346433631</v>
      </c>
      <c r="L315" s="116"/>
      <c r="M315" s="440">
        <f t="shared" si="75"/>
        <v>310.7355</v>
      </c>
      <c r="N315" s="116"/>
      <c r="O315" s="553"/>
      <c r="P315" s="444"/>
      <c r="Q315" s="444"/>
      <c r="R315" s="116"/>
      <c r="S315" s="454"/>
      <c r="T315" s="454"/>
      <c r="U315" s="116"/>
      <c r="V315" s="116"/>
      <c r="W315" s="116"/>
      <c r="X315" s="116"/>
      <c r="Y315" s="116"/>
      <c r="Z315" s="116"/>
      <c r="AA315" s="116"/>
      <c r="AB315" s="116"/>
      <c r="AC315" s="116"/>
      <c r="AD315" s="116"/>
      <c r="AE315" s="116"/>
      <c r="AF315" s="116"/>
      <c r="AG315" s="116"/>
      <c r="AH315" s="116"/>
      <c r="AI315" s="116"/>
    </row>
    <row r="316" spans="1:35" x14ac:dyDescent="0.25">
      <c r="A316" s="298" t="s">
        <v>222</v>
      </c>
      <c r="B316" s="548">
        <v>2034</v>
      </c>
      <c r="C316" s="116">
        <v>312</v>
      </c>
      <c r="D316" s="458">
        <f t="shared" si="72"/>
        <v>138.36768201153785</v>
      </c>
      <c r="E316" s="116"/>
      <c r="F316" s="468">
        <f t="shared" si="73"/>
        <v>134.22</v>
      </c>
      <c r="G316" s="116"/>
      <c r="H316" s="298" t="s">
        <v>222</v>
      </c>
      <c r="I316" s="548">
        <v>2034</v>
      </c>
      <c r="J316" s="116">
        <v>312</v>
      </c>
      <c r="K316" s="469">
        <f t="shared" si="74"/>
        <v>342.41998684182118</v>
      </c>
      <c r="L316" s="116"/>
      <c r="M316" s="440">
        <f t="shared" si="75"/>
        <v>311.04599999999999</v>
      </c>
      <c r="N316" s="444"/>
      <c r="O316" s="552"/>
      <c r="P316" s="444"/>
      <c r="Q316" s="444"/>
      <c r="R316" s="444"/>
      <c r="S316" s="447"/>
      <c r="T316" s="447"/>
      <c r="U316" s="444"/>
      <c r="V316" s="444"/>
      <c r="W316" s="444"/>
      <c r="X316" s="116"/>
      <c r="Y316" s="116"/>
      <c r="Z316" s="116"/>
      <c r="AA316" s="116"/>
      <c r="AB316" s="116"/>
      <c r="AC316" s="116"/>
      <c r="AD316" s="116"/>
      <c r="AE316" s="116"/>
      <c r="AF316" s="116"/>
      <c r="AG316" s="116"/>
      <c r="AH316" s="116"/>
      <c r="AI316" s="116"/>
    </row>
    <row r="317" spans="1:35" x14ac:dyDescent="0.25">
      <c r="A317" s="298" t="s">
        <v>211</v>
      </c>
      <c r="B317" s="548">
        <v>2035</v>
      </c>
      <c r="C317" s="116">
        <v>313</v>
      </c>
      <c r="D317" s="458">
        <f t="shared" si="72"/>
        <v>138.51362279354578</v>
      </c>
      <c r="E317" s="116"/>
      <c r="F317" s="468">
        <f t="shared" si="73"/>
        <v>134.32499999999999</v>
      </c>
      <c r="G317" s="116"/>
      <c r="H317" s="298" t="s">
        <v>211</v>
      </c>
      <c r="I317" s="548">
        <v>2035</v>
      </c>
      <c r="J317" s="116">
        <v>313</v>
      </c>
      <c r="K317" s="469">
        <f t="shared" si="74"/>
        <v>342.95329955218432</v>
      </c>
      <c r="L317" s="116"/>
      <c r="M317" s="440">
        <f t="shared" si="75"/>
        <v>311.35649999999998</v>
      </c>
      <c r="N317" s="116"/>
      <c r="O317" s="552"/>
      <c r="P317" s="444"/>
      <c r="Q317" s="444"/>
      <c r="R317" s="116"/>
      <c r="S317" s="447"/>
      <c r="T317" s="447"/>
      <c r="U317" s="116"/>
      <c r="V317" s="116"/>
      <c r="W317" s="116"/>
      <c r="X317" s="116"/>
      <c r="Y317" s="116"/>
      <c r="Z317" s="116"/>
      <c r="AA317" s="116"/>
      <c r="AB317" s="116"/>
      <c r="AC317" s="116"/>
      <c r="AD317" s="116"/>
      <c r="AE317" s="116"/>
      <c r="AF317" s="116"/>
      <c r="AG317" s="116"/>
      <c r="AH317" s="116"/>
      <c r="AI317" s="116"/>
    </row>
    <row r="318" spans="1:35" x14ac:dyDescent="0.25">
      <c r="A318" s="298" t="s">
        <v>212</v>
      </c>
      <c r="B318" s="548">
        <v>2035</v>
      </c>
      <c r="C318" s="116">
        <v>314</v>
      </c>
      <c r="D318" s="458">
        <f t="shared" si="72"/>
        <v>138.65971750392444</v>
      </c>
      <c r="E318" s="116"/>
      <c r="F318" s="468">
        <f t="shared" si="73"/>
        <v>134.43</v>
      </c>
      <c r="G318" s="116"/>
      <c r="H318" s="298" t="s">
        <v>212</v>
      </c>
      <c r="I318" s="548">
        <v>2035</v>
      </c>
      <c r="J318" s="116">
        <v>314</v>
      </c>
      <c r="K318" s="469">
        <f t="shared" si="74"/>
        <v>343.48744288709617</v>
      </c>
      <c r="L318" s="116"/>
      <c r="M318" s="440">
        <f t="shared" si="75"/>
        <v>311.66699999999997</v>
      </c>
      <c r="N318" s="116"/>
      <c r="O318" s="552"/>
      <c r="P318" s="444"/>
      <c r="Q318" s="444"/>
      <c r="R318" s="116"/>
      <c r="S318" s="447"/>
      <c r="T318" s="447"/>
      <c r="U318" s="116"/>
      <c r="V318" s="116"/>
      <c r="W318" s="116"/>
      <c r="X318" s="116"/>
      <c r="Y318" s="116"/>
      <c r="Z318" s="116"/>
      <c r="AA318" s="116"/>
      <c r="AB318" s="116"/>
      <c r="AC318" s="116"/>
      <c r="AD318" s="116"/>
      <c r="AE318" s="116"/>
      <c r="AF318" s="116"/>
      <c r="AG318" s="116"/>
      <c r="AH318" s="116"/>
      <c r="AI318" s="116"/>
    </row>
    <row r="319" spans="1:35" x14ac:dyDescent="0.25">
      <c r="A319" s="298" t="s">
        <v>213</v>
      </c>
      <c r="B319" s="548">
        <v>2035</v>
      </c>
      <c r="C319" s="116">
        <v>315</v>
      </c>
      <c r="D319" s="458">
        <f t="shared" si="72"/>
        <v>138.80596630502697</v>
      </c>
      <c r="E319" s="116"/>
      <c r="F319" s="468">
        <f t="shared" si="73"/>
        <v>134.535</v>
      </c>
      <c r="G319" s="116"/>
      <c r="H319" s="298" t="s">
        <v>213</v>
      </c>
      <c r="I319" s="548">
        <v>2035</v>
      </c>
      <c r="J319" s="116">
        <v>315</v>
      </c>
      <c r="K319" s="469">
        <f t="shared" si="74"/>
        <v>344.02241814023887</v>
      </c>
      <c r="L319" s="116"/>
      <c r="M319" s="440">
        <f t="shared" si="75"/>
        <v>311.97749999999996</v>
      </c>
      <c r="N319" s="116"/>
      <c r="O319" s="552"/>
      <c r="P319" s="444"/>
      <c r="Q319" s="444"/>
      <c r="R319" s="116"/>
      <c r="S319" s="447"/>
      <c r="T319" s="447"/>
      <c r="U319" s="116"/>
      <c r="V319" s="116"/>
      <c r="W319" s="116"/>
      <c r="X319" s="116"/>
      <c r="Y319" s="116"/>
      <c r="Z319" s="116"/>
      <c r="AA319" s="116"/>
      <c r="AB319" s="116"/>
      <c r="AC319" s="116"/>
      <c r="AD319" s="116"/>
      <c r="AE319" s="116"/>
      <c r="AF319" s="116"/>
      <c r="AG319" s="116"/>
      <c r="AH319" s="116"/>
      <c r="AI319" s="116"/>
    </row>
    <row r="320" spans="1:35" x14ac:dyDescent="0.25">
      <c r="A320" s="298" t="s">
        <v>214</v>
      </c>
      <c r="B320" s="548">
        <v>2035</v>
      </c>
      <c r="C320" s="116">
        <v>316</v>
      </c>
      <c r="D320" s="458">
        <f t="shared" si="72"/>
        <v>138.95236935937771</v>
      </c>
      <c r="E320" s="116"/>
      <c r="F320" s="468">
        <f t="shared" si="73"/>
        <v>134.63999999999999</v>
      </c>
      <c r="G320" s="116"/>
      <c r="H320" s="298" t="s">
        <v>214</v>
      </c>
      <c r="I320" s="548">
        <v>2035</v>
      </c>
      <c r="J320" s="116">
        <v>316</v>
      </c>
      <c r="K320" s="469">
        <f t="shared" si="74"/>
        <v>344.55822660730945</v>
      </c>
      <c r="L320" s="116"/>
      <c r="M320" s="440">
        <f t="shared" si="75"/>
        <v>312.28800000000001</v>
      </c>
      <c r="N320" s="116"/>
      <c r="O320" s="552"/>
      <c r="P320" s="444"/>
      <c r="Q320" s="444"/>
      <c r="R320" s="116"/>
      <c r="S320" s="447"/>
      <c r="T320" s="447"/>
      <c r="U320" s="116"/>
      <c r="V320" s="116"/>
      <c r="W320" s="116"/>
      <c r="X320" s="116"/>
      <c r="Y320" s="116"/>
      <c r="Z320" s="116"/>
      <c r="AA320" s="116"/>
      <c r="AB320" s="116"/>
      <c r="AC320" s="116"/>
      <c r="AD320" s="116"/>
      <c r="AE320" s="116"/>
      <c r="AF320" s="116"/>
      <c r="AG320" s="116"/>
      <c r="AH320" s="116"/>
      <c r="AI320" s="116"/>
    </row>
    <row r="321" spans="1:35" x14ac:dyDescent="0.25">
      <c r="A321" s="298" t="s">
        <v>215</v>
      </c>
      <c r="B321" s="548">
        <v>2035</v>
      </c>
      <c r="C321" s="116">
        <v>317</v>
      </c>
      <c r="D321" s="458">
        <f t="shared" si="72"/>
        <v>139.09892682967248</v>
      </c>
      <c r="E321" s="116"/>
      <c r="F321" s="468">
        <f t="shared" si="73"/>
        <v>134.745</v>
      </c>
      <c r="G321" s="116"/>
      <c r="H321" s="298" t="s">
        <v>215</v>
      </c>
      <c r="I321" s="548">
        <v>2035</v>
      </c>
      <c r="J321" s="116">
        <v>317</v>
      </c>
      <c r="K321" s="469">
        <f t="shared" si="74"/>
        <v>345.09486958602304</v>
      </c>
      <c r="L321" s="116"/>
      <c r="M321" s="440">
        <f t="shared" si="75"/>
        <v>312.5985</v>
      </c>
      <c r="N321" s="116"/>
      <c r="O321" s="552"/>
      <c r="P321" s="444"/>
      <c r="Q321" s="444"/>
      <c r="R321" s="116"/>
      <c r="S321" s="447"/>
      <c r="T321" s="447"/>
      <c r="U321" s="116"/>
      <c r="V321" s="116"/>
      <c r="W321" s="116"/>
      <c r="X321" s="116"/>
      <c r="Y321" s="116"/>
      <c r="Z321" s="116"/>
      <c r="AA321" s="116"/>
      <c r="AB321" s="116"/>
      <c r="AC321" s="116"/>
      <c r="AD321" s="116"/>
      <c r="AE321" s="116"/>
      <c r="AF321" s="116"/>
      <c r="AG321" s="116"/>
      <c r="AH321" s="116"/>
      <c r="AI321" s="116"/>
    </row>
    <row r="322" spans="1:35" x14ac:dyDescent="0.25">
      <c r="A322" s="298" t="s">
        <v>216</v>
      </c>
      <c r="B322" s="548">
        <v>2035</v>
      </c>
      <c r="C322" s="116">
        <v>318</v>
      </c>
      <c r="D322" s="458">
        <f t="shared" si="72"/>
        <v>139.24563887877866</v>
      </c>
      <c r="E322" s="116"/>
      <c r="F322" s="468">
        <f t="shared" si="73"/>
        <v>134.85</v>
      </c>
      <c r="G322" s="116"/>
      <c r="H322" s="298" t="s">
        <v>216</v>
      </c>
      <c r="I322" s="548">
        <v>2035</v>
      </c>
      <c r="J322" s="116">
        <v>318</v>
      </c>
      <c r="K322" s="469">
        <f t="shared" si="74"/>
        <v>345.63234837611583</v>
      </c>
      <c r="L322" s="116"/>
      <c r="M322" s="440">
        <f t="shared" si="75"/>
        <v>312.90899999999999</v>
      </c>
      <c r="N322" s="116"/>
      <c r="O322" s="552"/>
      <c r="P322" s="444"/>
      <c r="Q322" s="444"/>
      <c r="R322" s="116"/>
      <c r="S322" s="447"/>
      <c r="T322" s="447"/>
      <c r="U322" s="116"/>
      <c r="V322" s="116"/>
      <c r="W322" s="116"/>
      <c r="X322" s="116"/>
      <c r="Y322" s="116"/>
      <c r="Z322" s="116"/>
      <c r="AA322" s="116"/>
      <c r="AB322" s="116"/>
      <c r="AC322" s="116"/>
      <c r="AD322" s="116"/>
      <c r="AE322" s="116"/>
      <c r="AF322" s="116"/>
      <c r="AG322" s="116"/>
      <c r="AH322" s="116"/>
      <c r="AI322" s="116"/>
    </row>
    <row r="323" spans="1:35" x14ac:dyDescent="0.25">
      <c r="A323" s="298" t="s">
        <v>217</v>
      </c>
      <c r="B323" s="548">
        <v>2035</v>
      </c>
      <c r="C323" s="116">
        <v>319</v>
      </c>
      <c r="D323" s="458">
        <f t="shared" si="72"/>
        <v>139.39250566973544</v>
      </c>
      <c r="E323" s="116"/>
      <c r="F323" s="468">
        <f t="shared" si="73"/>
        <v>134.95499999999998</v>
      </c>
      <c r="G323" s="116"/>
      <c r="H323" s="298" t="s">
        <v>217</v>
      </c>
      <c r="I323" s="548">
        <v>2035</v>
      </c>
      <c r="J323" s="116">
        <v>319</v>
      </c>
      <c r="K323" s="469">
        <f t="shared" si="74"/>
        <v>346.17066427934839</v>
      </c>
      <c r="L323" s="116"/>
      <c r="M323" s="440">
        <f t="shared" si="75"/>
        <v>313.21949999999998</v>
      </c>
      <c r="N323" s="116"/>
      <c r="O323" s="552"/>
      <c r="P323" s="444"/>
      <c r="Q323" s="444"/>
      <c r="R323" s="116"/>
      <c r="S323" s="447"/>
      <c r="T323" s="447"/>
      <c r="U323" s="116"/>
      <c r="V323" s="116"/>
      <c r="W323" s="116"/>
      <c r="X323" s="116"/>
      <c r="Y323" s="116"/>
      <c r="Z323" s="116"/>
      <c r="AA323" s="116"/>
      <c r="AB323" s="116"/>
      <c r="AC323" s="116"/>
      <c r="AD323" s="116"/>
      <c r="AE323" s="116"/>
      <c r="AF323" s="116"/>
      <c r="AG323" s="116"/>
      <c r="AH323" s="116"/>
      <c r="AI323" s="116"/>
    </row>
    <row r="324" spans="1:35" x14ac:dyDescent="0.25">
      <c r="A324" s="298" t="s">
        <v>218</v>
      </c>
      <c r="B324" s="548">
        <v>2035</v>
      </c>
      <c r="C324" s="116">
        <v>320</v>
      </c>
      <c r="D324" s="458">
        <f t="shared" si="72"/>
        <v>139.53952736575394</v>
      </c>
      <c r="E324" s="116"/>
      <c r="F324" s="468">
        <f t="shared" si="73"/>
        <v>135.06</v>
      </c>
      <c r="G324" s="116"/>
      <c r="H324" s="298" t="s">
        <v>218</v>
      </c>
      <c r="I324" s="548">
        <v>2035</v>
      </c>
      <c r="J324" s="116">
        <v>320</v>
      </c>
      <c r="K324" s="469">
        <f t="shared" si="74"/>
        <v>346.70981859950876</v>
      </c>
      <c r="L324" s="116"/>
      <c r="M324" s="440">
        <f t="shared" si="75"/>
        <v>313.52999999999997</v>
      </c>
      <c r="N324" s="116"/>
      <c r="O324" s="552"/>
      <c r="P324" s="444"/>
      <c r="Q324" s="444"/>
      <c r="R324" s="116"/>
      <c r="S324" s="447"/>
      <c r="T324" s="447"/>
      <c r="U324" s="116"/>
      <c r="V324" s="116"/>
      <c r="W324" s="116"/>
      <c r="X324" s="116"/>
      <c r="Y324" s="116"/>
      <c r="Z324" s="116"/>
      <c r="AA324" s="116"/>
      <c r="AB324" s="116"/>
      <c r="AC324" s="116"/>
      <c r="AD324" s="116"/>
      <c r="AE324" s="116"/>
      <c r="AF324" s="116"/>
      <c r="AG324" s="116"/>
      <c r="AH324" s="116"/>
      <c r="AI324" s="116"/>
    </row>
    <row r="325" spans="1:35" x14ac:dyDescent="0.25">
      <c r="A325" s="298" t="s">
        <v>219</v>
      </c>
      <c r="B325" s="548">
        <v>2035</v>
      </c>
      <c r="C325" s="116">
        <v>321</v>
      </c>
      <c r="D325" s="458">
        <f t="shared" si="72"/>
        <v>139.68670413021746</v>
      </c>
      <c r="E325" s="116"/>
      <c r="F325" s="468">
        <f t="shared" si="73"/>
        <v>135.16499999999999</v>
      </c>
      <c r="G325" s="116"/>
      <c r="H325" s="298" t="s">
        <v>219</v>
      </c>
      <c r="I325" s="548">
        <v>2035</v>
      </c>
      <c r="J325" s="116">
        <v>321</v>
      </c>
      <c r="K325" s="469">
        <f t="shared" si="74"/>
        <v>347.24981264241558</v>
      </c>
      <c r="L325" s="116"/>
      <c r="M325" s="440">
        <f t="shared" si="75"/>
        <v>313.84050000000002</v>
      </c>
      <c r="N325" s="116"/>
      <c r="O325" s="552"/>
      <c r="P325" s="444"/>
      <c r="Q325" s="444"/>
      <c r="R325" s="116"/>
      <c r="S325" s="447"/>
      <c r="T325" s="447"/>
      <c r="U325" s="116"/>
      <c r="V325" s="116"/>
      <c r="W325" s="116"/>
      <c r="X325" s="116"/>
      <c r="Y325" s="116"/>
      <c r="Z325" s="116"/>
      <c r="AA325" s="116"/>
      <c r="AB325" s="116"/>
      <c r="AC325" s="116"/>
      <c r="AD325" s="116"/>
      <c r="AE325" s="116"/>
      <c r="AF325" s="116"/>
      <c r="AG325" s="116"/>
      <c r="AH325" s="116"/>
      <c r="AI325" s="116"/>
    </row>
    <row r="326" spans="1:35" x14ac:dyDescent="0.25">
      <c r="A326" s="298" t="s">
        <v>220</v>
      </c>
      <c r="B326" s="548">
        <v>2035</v>
      </c>
      <c r="C326" s="116">
        <v>322</v>
      </c>
      <c r="D326" s="458">
        <f t="shared" si="72"/>
        <v>139.83403612668161</v>
      </c>
      <c r="E326" s="116"/>
      <c r="F326" s="468">
        <f t="shared" si="73"/>
        <v>135.26999999999998</v>
      </c>
      <c r="G326" s="116"/>
      <c r="H326" s="298" t="s">
        <v>220</v>
      </c>
      <c r="I326" s="548">
        <v>2035</v>
      </c>
      <c r="J326" s="116">
        <v>322</v>
      </c>
      <c r="K326" s="469">
        <f t="shared" si="74"/>
        <v>347.7906477159213</v>
      </c>
      <c r="L326" s="116"/>
      <c r="M326" s="440">
        <f t="shared" si="75"/>
        <v>314.15099999999995</v>
      </c>
      <c r="N326" s="116"/>
      <c r="O326" s="552"/>
      <c r="P326" s="444"/>
      <c r="Q326" s="444"/>
      <c r="R326" s="116"/>
      <c r="S326" s="447"/>
      <c r="T326" s="447"/>
      <c r="U326" s="116"/>
      <c r="V326" s="116"/>
      <c r="W326" s="116"/>
      <c r="X326" s="116"/>
      <c r="Y326" s="116"/>
      <c r="Z326" s="116"/>
      <c r="AA326" s="116"/>
      <c r="AB326" s="116"/>
      <c r="AC326" s="116"/>
      <c r="AD326" s="116"/>
      <c r="AE326" s="116"/>
      <c r="AF326" s="116"/>
      <c r="AG326" s="116"/>
      <c r="AH326" s="116"/>
      <c r="AI326" s="116"/>
    </row>
    <row r="327" spans="1:35" x14ac:dyDescent="0.25">
      <c r="A327" s="298" t="s">
        <v>221</v>
      </c>
      <c r="B327" s="548">
        <v>2035</v>
      </c>
      <c r="C327" s="116">
        <v>323</v>
      </c>
      <c r="D327" s="458">
        <f t="shared" si="72"/>
        <v>139.98152351887447</v>
      </c>
      <c r="E327" s="116"/>
      <c r="F327" s="468">
        <f t="shared" si="73"/>
        <v>135.375</v>
      </c>
      <c r="G327" s="116"/>
      <c r="H327" s="298" t="s">
        <v>221</v>
      </c>
      <c r="I327" s="548">
        <v>2035</v>
      </c>
      <c r="J327" s="116">
        <v>323</v>
      </c>
      <c r="K327" s="469">
        <f t="shared" si="74"/>
        <v>348.33232512991526</v>
      </c>
      <c r="L327" s="116"/>
      <c r="M327" s="440">
        <f t="shared" si="75"/>
        <v>314.4615</v>
      </c>
      <c r="N327" s="116"/>
      <c r="O327" s="552"/>
      <c r="P327" s="444"/>
      <c r="Q327" s="444"/>
      <c r="R327" s="116"/>
      <c r="S327" s="447"/>
      <c r="T327" s="447"/>
      <c r="U327" s="116"/>
      <c r="V327" s="116"/>
      <c r="W327" s="116"/>
      <c r="X327" s="116"/>
      <c r="Y327" s="116"/>
      <c r="Z327" s="116"/>
      <c r="AA327" s="116"/>
      <c r="AB327" s="116"/>
      <c r="AC327" s="116"/>
      <c r="AD327" s="116"/>
      <c r="AE327" s="116"/>
      <c r="AF327" s="116"/>
      <c r="AG327" s="116"/>
      <c r="AH327" s="116"/>
      <c r="AI327" s="116"/>
    </row>
    <row r="328" spans="1:35" x14ac:dyDescent="0.25">
      <c r="A328" s="298" t="s">
        <v>222</v>
      </c>
      <c r="B328" s="548">
        <v>2035</v>
      </c>
      <c r="C328" s="116">
        <v>324</v>
      </c>
      <c r="D328" s="458">
        <f t="shared" si="72"/>
        <v>140.12916647069687</v>
      </c>
      <c r="E328" s="116"/>
      <c r="F328" s="468">
        <f t="shared" si="73"/>
        <v>135.47999999999999</v>
      </c>
      <c r="G328" s="116"/>
      <c r="H328" s="298" t="s">
        <v>222</v>
      </c>
      <c r="I328" s="548">
        <v>2035</v>
      </c>
      <c r="J328" s="116">
        <v>324</v>
      </c>
      <c r="K328" s="469">
        <f t="shared" si="74"/>
        <v>348.87484619632704</v>
      </c>
      <c r="L328" s="116"/>
      <c r="M328" s="440">
        <f t="shared" si="75"/>
        <v>314.77199999999999</v>
      </c>
      <c r="N328" s="451"/>
      <c r="O328" s="554"/>
      <c r="P328" s="444"/>
      <c r="Q328" s="444"/>
      <c r="R328" s="451"/>
      <c r="S328" s="454"/>
      <c r="T328" s="454"/>
      <c r="U328" s="451"/>
      <c r="V328" s="451"/>
      <c r="W328" s="451"/>
      <c r="X328" s="116"/>
      <c r="Y328" s="116"/>
      <c r="Z328" s="116"/>
      <c r="AA328" s="116"/>
      <c r="AB328" s="116"/>
      <c r="AC328" s="116"/>
      <c r="AD328" s="116"/>
      <c r="AE328" s="116"/>
      <c r="AF328" s="116"/>
      <c r="AG328" s="116"/>
      <c r="AH328" s="116"/>
      <c r="AI328" s="116"/>
    </row>
    <row r="329" spans="1:35" x14ac:dyDescent="0.25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451"/>
      <c r="L329" s="116"/>
      <c r="M329" s="451"/>
      <c r="N329" s="116"/>
      <c r="O329" s="554"/>
      <c r="P329" s="444"/>
      <c r="Q329" s="444"/>
      <c r="R329" s="116"/>
      <c r="S329" s="454"/>
      <c r="T329" s="454"/>
      <c r="U329" s="116"/>
      <c r="V329" s="116"/>
      <c r="W329" s="116"/>
      <c r="X329" s="116"/>
      <c r="Y329" s="116"/>
      <c r="Z329" s="116"/>
      <c r="AA329" s="116"/>
      <c r="AB329" s="116"/>
      <c r="AC329" s="116"/>
      <c r="AD329" s="116"/>
      <c r="AE329" s="116"/>
      <c r="AF329" s="116"/>
      <c r="AG329" s="116"/>
      <c r="AH329" s="116"/>
      <c r="AI329" s="116"/>
    </row>
    <row r="330" spans="1:35" x14ac:dyDescent="0.25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451"/>
      <c r="L330" s="116"/>
      <c r="M330" s="451"/>
      <c r="N330" s="116"/>
      <c r="O330" s="554"/>
      <c r="P330" s="444"/>
      <c r="Q330" s="444"/>
      <c r="R330" s="116"/>
      <c r="S330" s="454"/>
      <c r="T330" s="454"/>
      <c r="U330" s="116"/>
      <c r="V330" s="116"/>
      <c r="W330" s="116"/>
      <c r="X330" s="116"/>
      <c r="Y330" s="116"/>
      <c r="Z330" s="116"/>
      <c r="AA330" s="116"/>
      <c r="AB330" s="116"/>
      <c r="AC330" s="116"/>
      <c r="AD330" s="116"/>
      <c r="AE330" s="116"/>
      <c r="AF330" s="116"/>
      <c r="AG330" s="116"/>
      <c r="AH330" s="116"/>
      <c r="AI330" s="116"/>
    </row>
    <row r="331" spans="1:35" x14ac:dyDescent="0.25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451"/>
      <c r="L331" s="116"/>
      <c r="M331" s="451"/>
      <c r="N331" s="116"/>
      <c r="O331" s="554"/>
      <c r="P331" s="444"/>
      <c r="Q331" s="444"/>
      <c r="R331" s="116"/>
      <c r="S331" s="454"/>
      <c r="T331" s="454"/>
      <c r="U331" s="116"/>
      <c r="V331" s="116"/>
      <c r="W331" s="116"/>
      <c r="X331" s="116"/>
      <c r="Y331" s="116"/>
      <c r="Z331" s="116"/>
      <c r="AA331" s="116"/>
      <c r="AB331" s="116"/>
      <c r="AC331" s="116"/>
      <c r="AD331" s="116"/>
      <c r="AE331" s="116"/>
      <c r="AF331" s="116"/>
      <c r="AG331" s="116"/>
      <c r="AH331" s="116"/>
      <c r="AI331" s="116"/>
    </row>
    <row r="332" spans="1:35" x14ac:dyDescent="0.25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451"/>
      <c r="L332" s="116"/>
      <c r="M332" s="451"/>
      <c r="N332" s="116"/>
      <c r="O332" s="554"/>
      <c r="P332" s="444"/>
      <c r="Q332" s="444"/>
      <c r="R332" s="116"/>
      <c r="S332" s="454"/>
      <c r="T332" s="454"/>
      <c r="U332" s="116"/>
      <c r="V332" s="116"/>
      <c r="W332" s="116"/>
      <c r="X332" s="116"/>
      <c r="Y332" s="116"/>
      <c r="Z332" s="116"/>
      <c r="AA332" s="116"/>
      <c r="AB332" s="116"/>
      <c r="AC332" s="116"/>
      <c r="AD332" s="116"/>
      <c r="AE332" s="116"/>
      <c r="AF332" s="116"/>
      <c r="AG332" s="116"/>
      <c r="AH332" s="116"/>
      <c r="AI332" s="116"/>
    </row>
    <row r="333" spans="1:35" x14ac:dyDescent="0.25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451"/>
      <c r="L333" s="116"/>
      <c r="M333" s="451"/>
      <c r="N333" s="116"/>
      <c r="O333" s="554"/>
      <c r="P333" s="444"/>
      <c r="Q333" s="444"/>
      <c r="R333" s="116"/>
      <c r="S333" s="454"/>
      <c r="T333" s="454"/>
      <c r="U333" s="116"/>
      <c r="V333" s="116"/>
      <c r="W333" s="116"/>
      <c r="X333" s="116"/>
      <c r="Y333" s="116"/>
      <c r="Z333" s="116"/>
      <c r="AA333" s="116"/>
      <c r="AB333" s="116"/>
      <c r="AC333" s="116"/>
      <c r="AD333" s="116"/>
      <c r="AE333" s="116"/>
      <c r="AF333" s="116"/>
      <c r="AG333" s="116"/>
      <c r="AH333" s="116"/>
      <c r="AI333" s="116"/>
    </row>
    <row r="334" spans="1:35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451"/>
      <c r="L334" s="116"/>
      <c r="M334" s="451"/>
      <c r="N334" s="116"/>
      <c r="O334" s="554"/>
      <c r="P334" s="444"/>
      <c r="Q334" s="444"/>
      <c r="R334" s="116"/>
      <c r="S334" s="454"/>
      <c r="T334" s="454"/>
      <c r="U334" s="116"/>
      <c r="V334" s="116"/>
      <c r="W334" s="116"/>
      <c r="X334" s="116"/>
      <c r="Y334" s="116"/>
      <c r="Z334" s="116"/>
      <c r="AA334" s="116"/>
      <c r="AB334" s="116"/>
      <c r="AC334" s="116"/>
      <c r="AD334" s="116"/>
      <c r="AE334" s="116"/>
      <c r="AF334" s="116"/>
      <c r="AG334" s="116"/>
      <c r="AH334" s="116"/>
      <c r="AI334" s="116"/>
    </row>
    <row r="335" spans="1:35" x14ac:dyDescent="0.25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451"/>
      <c r="L335" s="116"/>
      <c r="M335" s="451"/>
      <c r="N335" s="116"/>
      <c r="O335" s="554"/>
      <c r="P335" s="444"/>
      <c r="Q335" s="444"/>
      <c r="R335" s="116"/>
      <c r="S335" s="454"/>
      <c r="T335" s="454"/>
      <c r="U335" s="116"/>
      <c r="V335" s="116"/>
      <c r="W335" s="116"/>
      <c r="X335" s="116"/>
      <c r="Y335" s="116"/>
      <c r="Z335" s="116"/>
      <c r="AA335" s="116"/>
      <c r="AB335" s="116"/>
      <c r="AC335" s="116"/>
      <c r="AD335" s="116"/>
      <c r="AE335" s="116"/>
      <c r="AF335" s="116"/>
      <c r="AG335" s="116"/>
      <c r="AH335" s="116"/>
      <c r="AI335" s="116"/>
    </row>
    <row r="336" spans="1:35" x14ac:dyDescent="0.25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451"/>
      <c r="L336" s="116"/>
      <c r="M336" s="451"/>
      <c r="N336" s="116"/>
      <c r="O336" s="554"/>
      <c r="P336" s="444"/>
      <c r="Q336" s="444"/>
      <c r="R336" s="116"/>
      <c r="S336" s="454"/>
      <c r="T336" s="454"/>
      <c r="U336" s="116"/>
      <c r="V336" s="116"/>
      <c r="W336" s="116"/>
      <c r="X336" s="116"/>
      <c r="Y336" s="116"/>
      <c r="Z336" s="116"/>
      <c r="AA336" s="116"/>
      <c r="AB336" s="116"/>
      <c r="AC336" s="116"/>
      <c r="AD336" s="116"/>
      <c r="AE336" s="116"/>
      <c r="AF336" s="116"/>
      <c r="AG336" s="116"/>
      <c r="AH336" s="116"/>
      <c r="AI336" s="116"/>
    </row>
    <row r="337" spans="1:35" x14ac:dyDescent="0.25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451"/>
      <c r="L337" s="116"/>
      <c r="M337" s="451"/>
      <c r="N337" s="116"/>
      <c r="O337" s="554"/>
      <c r="P337" s="444"/>
      <c r="Q337" s="444"/>
      <c r="R337" s="116"/>
      <c r="S337" s="454"/>
      <c r="T337" s="454"/>
      <c r="U337" s="116"/>
      <c r="V337" s="116"/>
      <c r="W337" s="116"/>
      <c r="X337" s="116"/>
      <c r="Y337" s="116"/>
      <c r="Z337" s="116"/>
      <c r="AA337" s="116"/>
      <c r="AB337" s="116"/>
      <c r="AC337" s="116"/>
      <c r="AD337" s="116"/>
      <c r="AE337" s="116"/>
      <c r="AF337" s="116"/>
      <c r="AG337" s="116"/>
      <c r="AH337" s="116"/>
      <c r="AI337" s="116"/>
    </row>
    <row r="338" spans="1:35" x14ac:dyDescent="0.25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451"/>
      <c r="L338" s="116"/>
      <c r="M338" s="451"/>
      <c r="N338" s="116"/>
      <c r="O338" s="554"/>
      <c r="P338" s="444"/>
      <c r="Q338" s="444"/>
      <c r="R338" s="116"/>
      <c r="S338" s="454"/>
      <c r="T338" s="454"/>
      <c r="U338" s="116"/>
      <c r="V338" s="116"/>
      <c r="W338" s="116"/>
      <c r="X338" s="116"/>
      <c r="Y338" s="116"/>
      <c r="Z338" s="116"/>
      <c r="AA338" s="116"/>
      <c r="AB338" s="116"/>
      <c r="AC338" s="116"/>
      <c r="AD338" s="116"/>
      <c r="AE338" s="116"/>
      <c r="AF338" s="116"/>
      <c r="AG338" s="116"/>
      <c r="AH338" s="116"/>
      <c r="AI338" s="116"/>
    </row>
    <row r="339" spans="1:35" x14ac:dyDescent="0.25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451"/>
      <c r="L339" s="116"/>
      <c r="M339" s="451"/>
      <c r="N339" s="116"/>
      <c r="O339" s="554"/>
      <c r="P339" s="444"/>
      <c r="Q339" s="444"/>
      <c r="R339" s="116"/>
      <c r="S339" s="454"/>
      <c r="T339" s="454"/>
      <c r="U339" s="116"/>
      <c r="V339" s="116"/>
      <c r="W339" s="116"/>
      <c r="X339" s="116"/>
      <c r="Y339" s="116"/>
      <c r="Z339" s="116"/>
      <c r="AA339" s="116"/>
      <c r="AB339" s="116"/>
      <c r="AC339" s="116"/>
      <c r="AD339" s="116"/>
      <c r="AE339" s="116"/>
      <c r="AF339" s="116"/>
      <c r="AG339" s="116"/>
      <c r="AH339" s="116"/>
      <c r="AI339" s="116"/>
    </row>
    <row r="340" spans="1:35" x14ac:dyDescent="0.25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444"/>
      <c r="L340" s="116"/>
      <c r="M340" s="444"/>
      <c r="N340" s="444"/>
      <c r="O340" s="552"/>
      <c r="P340" s="444"/>
      <c r="Q340" s="444"/>
      <c r="R340" s="444"/>
      <c r="S340" s="447"/>
      <c r="T340" s="447"/>
      <c r="U340" s="444"/>
      <c r="V340" s="444"/>
      <c r="W340" s="444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</row>
    <row r="341" spans="1:35" x14ac:dyDescent="0.25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444"/>
      <c r="L341" s="116"/>
      <c r="M341" s="444"/>
      <c r="N341" s="116"/>
      <c r="O341" s="552"/>
      <c r="P341" s="444"/>
      <c r="Q341" s="444"/>
      <c r="R341" s="116"/>
      <c r="S341" s="447"/>
      <c r="T341" s="447"/>
      <c r="U341" s="116"/>
      <c r="V341" s="116"/>
      <c r="W341" s="116"/>
      <c r="X341" s="116"/>
      <c r="Y341" s="116"/>
      <c r="Z341" s="116"/>
      <c r="AA341" s="116"/>
      <c r="AB341" s="116"/>
      <c r="AC341" s="116"/>
      <c r="AD341" s="116"/>
      <c r="AE341" s="116"/>
      <c r="AF341" s="116"/>
      <c r="AG341" s="116"/>
      <c r="AH341" s="116"/>
      <c r="AI341" s="116"/>
    </row>
    <row r="342" spans="1:35" x14ac:dyDescent="0.25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444"/>
      <c r="L342" s="116"/>
      <c r="M342" s="444"/>
      <c r="N342" s="116"/>
      <c r="O342" s="552"/>
      <c r="P342" s="444"/>
      <c r="Q342" s="444"/>
      <c r="R342" s="116"/>
      <c r="S342" s="447"/>
      <c r="T342" s="447"/>
      <c r="U342" s="116"/>
      <c r="V342" s="116"/>
      <c r="W342" s="116"/>
      <c r="X342" s="116"/>
      <c r="Y342" s="116"/>
      <c r="Z342" s="116"/>
      <c r="AA342" s="116"/>
      <c r="AB342" s="116"/>
      <c r="AC342" s="116"/>
      <c r="AD342" s="116"/>
      <c r="AE342" s="116"/>
      <c r="AF342" s="116"/>
      <c r="AG342" s="116"/>
      <c r="AH342" s="116"/>
      <c r="AI342" s="116"/>
    </row>
    <row r="343" spans="1:35" x14ac:dyDescent="0.25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444"/>
      <c r="L343" s="116"/>
      <c r="M343" s="444"/>
      <c r="N343" s="116"/>
      <c r="O343" s="552"/>
      <c r="P343" s="444"/>
      <c r="Q343" s="444"/>
      <c r="R343" s="116"/>
      <c r="S343" s="447"/>
      <c r="T343" s="447"/>
      <c r="U343" s="116"/>
      <c r="V343" s="116"/>
      <c r="W343" s="116"/>
      <c r="X343" s="116"/>
      <c r="Y343" s="116"/>
      <c r="Z343" s="116"/>
      <c r="AA343" s="116"/>
      <c r="AB343" s="116"/>
      <c r="AC343" s="116"/>
      <c r="AD343" s="116"/>
      <c r="AE343" s="116"/>
      <c r="AF343" s="116"/>
      <c r="AG343" s="116"/>
      <c r="AH343" s="116"/>
      <c r="AI343" s="116"/>
    </row>
    <row r="344" spans="1:35" x14ac:dyDescent="0.25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444"/>
      <c r="L344" s="116"/>
      <c r="M344" s="444"/>
      <c r="N344" s="116"/>
      <c r="O344" s="552"/>
      <c r="P344" s="444"/>
      <c r="Q344" s="444"/>
      <c r="R344" s="116"/>
      <c r="S344" s="447"/>
      <c r="T344" s="447"/>
      <c r="U344" s="116"/>
      <c r="V344" s="116"/>
      <c r="W344" s="116"/>
      <c r="X344" s="116"/>
      <c r="Y344" s="116"/>
      <c r="Z344" s="116"/>
      <c r="AA344" s="116"/>
      <c r="AB344" s="116"/>
      <c r="AC344" s="116"/>
      <c r="AD344" s="116"/>
      <c r="AE344" s="116"/>
      <c r="AF344" s="116"/>
      <c r="AG344" s="116"/>
      <c r="AH344" s="116"/>
      <c r="AI344" s="116"/>
    </row>
    <row r="345" spans="1:35" x14ac:dyDescent="0.25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444"/>
      <c r="L345" s="116"/>
      <c r="M345" s="444"/>
      <c r="N345" s="116"/>
      <c r="O345" s="552"/>
      <c r="P345" s="444"/>
      <c r="Q345" s="444"/>
      <c r="R345" s="116"/>
      <c r="S345" s="447"/>
      <c r="T345" s="447"/>
      <c r="U345" s="116"/>
      <c r="V345" s="116"/>
      <c r="W345" s="116"/>
      <c r="X345" s="116"/>
      <c r="Y345" s="116"/>
      <c r="Z345" s="116"/>
      <c r="AA345" s="116"/>
      <c r="AB345" s="116"/>
      <c r="AC345" s="116"/>
      <c r="AD345" s="116"/>
      <c r="AE345" s="116"/>
      <c r="AF345" s="116"/>
      <c r="AG345" s="116"/>
      <c r="AH345" s="116"/>
      <c r="AI345" s="116"/>
    </row>
    <row r="346" spans="1:35" x14ac:dyDescent="0.25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444"/>
      <c r="L346" s="116"/>
      <c r="M346" s="444"/>
      <c r="N346" s="116"/>
      <c r="O346" s="552"/>
      <c r="P346" s="444"/>
      <c r="Q346" s="444"/>
      <c r="R346" s="116"/>
      <c r="S346" s="447"/>
      <c r="T346" s="447"/>
      <c r="U346" s="116"/>
      <c r="V346" s="116"/>
      <c r="W346" s="116"/>
      <c r="X346" s="116"/>
      <c r="Y346" s="116"/>
      <c r="Z346" s="116"/>
      <c r="AA346" s="116"/>
      <c r="AB346" s="116"/>
      <c r="AC346" s="116"/>
      <c r="AD346" s="116"/>
      <c r="AE346" s="116"/>
      <c r="AF346" s="116"/>
      <c r="AG346" s="116"/>
      <c r="AH346" s="116"/>
      <c r="AI346" s="116"/>
    </row>
    <row r="347" spans="1:35" x14ac:dyDescent="0.25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444"/>
      <c r="L347" s="116"/>
      <c r="M347" s="444"/>
      <c r="N347" s="116"/>
      <c r="O347" s="552"/>
      <c r="P347" s="444"/>
      <c r="Q347" s="444"/>
      <c r="R347" s="116"/>
      <c r="S347" s="447"/>
      <c r="T347" s="447"/>
      <c r="U347" s="116"/>
      <c r="V347" s="116"/>
      <c r="W347" s="116"/>
      <c r="X347" s="116"/>
      <c r="Y347" s="116"/>
      <c r="Z347" s="116"/>
      <c r="AA347" s="116"/>
      <c r="AB347" s="116"/>
      <c r="AC347" s="116"/>
      <c r="AD347" s="116"/>
      <c r="AE347" s="116"/>
      <c r="AF347" s="116"/>
      <c r="AG347" s="116"/>
      <c r="AH347" s="116"/>
      <c r="AI347" s="116"/>
    </row>
    <row r="348" spans="1:35" x14ac:dyDescent="0.25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444"/>
      <c r="L348" s="116"/>
      <c r="M348" s="444"/>
      <c r="N348" s="116"/>
      <c r="O348" s="552"/>
      <c r="P348" s="444"/>
      <c r="Q348" s="444"/>
      <c r="R348" s="116"/>
      <c r="S348" s="447"/>
      <c r="T348" s="447"/>
      <c r="U348" s="116"/>
      <c r="V348" s="116"/>
      <c r="W348" s="116"/>
      <c r="X348" s="116"/>
      <c r="Y348" s="116"/>
      <c r="Z348" s="116"/>
      <c r="AA348" s="116"/>
      <c r="AB348" s="116"/>
      <c r="AC348" s="116"/>
      <c r="AD348" s="116"/>
      <c r="AE348" s="116"/>
      <c r="AF348" s="116"/>
      <c r="AG348" s="116"/>
      <c r="AH348" s="116"/>
      <c r="AI348" s="116"/>
    </row>
    <row r="349" spans="1:35" x14ac:dyDescent="0.25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444"/>
      <c r="L349" s="116"/>
      <c r="M349" s="444"/>
      <c r="N349" s="116"/>
      <c r="O349" s="552"/>
      <c r="P349" s="444"/>
      <c r="Q349" s="444"/>
      <c r="R349" s="116"/>
      <c r="S349" s="447"/>
      <c r="T349" s="447"/>
      <c r="U349" s="116"/>
      <c r="V349" s="116"/>
      <c r="W349" s="116"/>
      <c r="X349" s="116"/>
      <c r="Y349" s="116"/>
      <c r="Z349" s="116"/>
      <c r="AA349" s="116"/>
      <c r="AB349" s="116"/>
      <c r="AC349" s="116"/>
      <c r="AD349" s="116"/>
      <c r="AE349" s="116"/>
      <c r="AF349" s="116"/>
      <c r="AG349" s="116"/>
      <c r="AH349" s="116"/>
      <c r="AI349" s="116"/>
    </row>
    <row r="350" spans="1:35" x14ac:dyDescent="0.25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444"/>
      <c r="L350" s="116"/>
      <c r="M350" s="444"/>
      <c r="N350" s="116"/>
      <c r="O350" s="552"/>
      <c r="P350" s="444"/>
      <c r="Q350" s="444"/>
      <c r="R350" s="116"/>
      <c r="S350" s="447"/>
      <c r="T350" s="447"/>
      <c r="U350" s="116"/>
      <c r="V350" s="116"/>
      <c r="W350" s="116"/>
      <c r="X350" s="116"/>
      <c r="Y350" s="116"/>
      <c r="Z350" s="116"/>
      <c r="AA350" s="116"/>
      <c r="AB350" s="116"/>
      <c r="AC350" s="116"/>
      <c r="AD350" s="116"/>
      <c r="AE350" s="116"/>
      <c r="AF350" s="116"/>
      <c r="AG350" s="116"/>
      <c r="AH350" s="116"/>
      <c r="AI350" s="116"/>
    </row>
    <row r="351" spans="1:35" x14ac:dyDescent="0.25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444"/>
      <c r="L351" s="116"/>
      <c r="M351" s="444"/>
      <c r="N351" s="116"/>
      <c r="O351" s="552"/>
      <c r="P351" s="444"/>
      <c r="Q351" s="444"/>
      <c r="R351" s="116"/>
      <c r="S351" s="447"/>
      <c r="T351" s="447"/>
      <c r="U351" s="116"/>
      <c r="V351" s="116"/>
      <c r="W351" s="116"/>
      <c r="X351" s="116"/>
      <c r="Y351" s="116"/>
      <c r="Z351" s="116"/>
      <c r="AA351" s="116"/>
      <c r="AB351" s="116"/>
      <c r="AC351" s="116"/>
      <c r="AD351" s="116"/>
      <c r="AE351" s="116"/>
      <c r="AF351" s="116"/>
      <c r="AG351" s="116"/>
      <c r="AH351" s="116"/>
      <c r="AI351" s="116"/>
    </row>
    <row r="352" spans="1:35" x14ac:dyDescent="0.25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451"/>
      <c r="L352" s="116"/>
      <c r="M352" s="451"/>
      <c r="N352" s="451"/>
      <c r="O352" s="553"/>
      <c r="P352" s="444"/>
      <c r="Q352" s="444"/>
      <c r="R352" s="451"/>
      <c r="S352" s="458"/>
      <c r="T352" s="458"/>
      <c r="U352" s="116"/>
      <c r="V352" s="116"/>
      <c r="W352" s="116"/>
      <c r="X352" s="116"/>
      <c r="Y352" s="116"/>
      <c r="Z352" s="116"/>
      <c r="AA352" s="116"/>
      <c r="AB352" s="116"/>
      <c r="AC352" s="116"/>
      <c r="AD352" s="116"/>
      <c r="AE352" s="116"/>
      <c r="AF352" s="116"/>
      <c r="AG352" s="116"/>
      <c r="AH352" s="116"/>
      <c r="AI352" s="116"/>
    </row>
    <row r="353" spans="1:35" x14ac:dyDescent="0.25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451"/>
      <c r="L353" s="116"/>
      <c r="M353" s="451"/>
      <c r="N353" s="116"/>
      <c r="O353" s="553"/>
      <c r="P353" s="444"/>
      <c r="Q353" s="444"/>
      <c r="R353" s="116"/>
      <c r="S353" s="458"/>
      <c r="T353" s="458"/>
      <c r="U353" s="116"/>
      <c r="V353" s="116"/>
      <c r="W353" s="116"/>
      <c r="X353" s="116"/>
      <c r="Y353" s="116"/>
      <c r="Z353" s="116"/>
      <c r="AA353" s="116"/>
      <c r="AB353" s="116"/>
      <c r="AC353" s="116"/>
      <c r="AD353" s="116"/>
      <c r="AE353" s="116"/>
      <c r="AF353" s="116"/>
      <c r="AG353" s="116"/>
      <c r="AH353" s="116"/>
      <c r="AI353" s="116"/>
    </row>
    <row r="354" spans="1:35" x14ac:dyDescent="0.25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451"/>
      <c r="L354" s="116"/>
      <c r="M354" s="451"/>
      <c r="N354" s="116"/>
      <c r="O354" s="553"/>
      <c r="P354" s="444"/>
      <c r="Q354" s="444"/>
      <c r="R354" s="116"/>
      <c r="S354" s="458"/>
      <c r="T354" s="458"/>
      <c r="U354" s="116"/>
      <c r="V354" s="116"/>
      <c r="W354" s="116"/>
      <c r="X354" s="116"/>
      <c r="Y354" s="116"/>
      <c r="Z354" s="116"/>
      <c r="AA354" s="116"/>
      <c r="AB354" s="116"/>
      <c r="AC354" s="116"/>
      <c r="AD354" s="116"/>
      <c r="AE354" s="116"/>
      <c r="AF354" s="116"/>
      <c r="AG354" s="116"/>
      <c r="AH354" s="116"/>
      <c r="AI354" s="116"/>
    </row>
    <row r="355" spans="1:35" x14ac:dyDescent="0.25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451"/>
      <c r="L355" s="116"/>
      <c r="M355" s="451"/>
      <c r="N355" s="116"/>
      <c r="O355" s="553"/>
      <c r="P355" s="444"/>
      <c r="Q355" s="444"/>
      <c r="R355" s="116"/>
      <c r="S355" s="458"/>
      <c r="T355" s="458"/>
      <c r="U355" s="116"/>
      <c r="V355" s="116"/>
      <c r="W355" s="116"/>
      <c r="X355" s="116"/>
      <c r="Y355" s="116"/>
      <c r="Z355" s="116"/>
      <c r="AA355" s="116"/>
      <c r="AB355" s="116"/>
      <c r="AC355" s="116"/>
      <c r="AD355" s="116"/>
      <c r="AE355" s="116"/>
      <c r="AF355" s="116"/>
      <c r="AG355" s="116"/>
      <c r="AH355" s="116"/>
      <c r="AI355" s="116"/>
    </row>
    <row r="356" spans="1:35" x14ac:dyDescent="0.25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451"/>
      <c r="L356" s="116"/>
      <c r="M356" s="451"/>
      <c r="N356" s="116"/>
      <c r="O356" s="553"/>
      <c r="P356" s="444"/>
      <c r="Q356" s="444"/>
      <c r="R356" s="116"/>
      <c r="S356" s="458"/>
      <c r="T356" s="458"/>
      <c r="U356" s="116"/>
      <c r="V356" s="116"/>
      <c r="W356" s="116"/>
      <c r="X356" s="116"/>
      <c r="Y356" s="116"/>
      <c r="Z356" s="116"/>
      <c r="AA356" s="116"/>
      <c r="AB356" s="116"/>
      <c r="AC356" s="116"/>
      <c r="AD356" s="116"/>
      <c r="AE356" s="116"/>
      <c r="AF356" s="116"/>
      <c r="AG356" s="116"/>
      <c r="AH356" s="116"/>
      <c r="AI356" s="116"/>
    </row>
    <row r="357" spans="1:35" x14ac:dyDescent="0.25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451"/>
      <c r="L357" s="116"/>
      <c r="M357" s="451"/>
      <c r="N357" s="116"/>
      <c r="O357" s="553"/>
      <c r="P357" s="444"/>
      <c r="Q357" s="444"/>
      <c r="R357" s="116"/>
      <c r="S357" s="458"/>
      <c r="T357" s="458"/>
      <c r="U357" s="116"/>
      <c r="V357" s="116"/>
      <c r="W357" s="116"/>
      <c r="X357" s="116"/>
      <c r="Y357" s="116"/>
      <c r="Z357" s="116"/>
      <c r="AA357" s="116"/>
      <c r="AB357" s="116"/>
      <c r="AC357" s="116"/>
      <c r="AD357" s="116"/>
      <c r="AE357" s="116"/>
      <c r="AF357" s="116"/>
      <c r="AG357" s="116"/>
      <c r="AH357" s="116"/>
      <c r="AI357" s="116"/>
    </row>
    <row r="358" spans="1:35" x14ac:dyDescent="0.25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451"/>
      <c r="L358" s="116"/>
      <c r="M358" s="451"/>
      <c r="N358" s="116"/>
      <c r="O358" s="553"/>
      <c r="P358" s="444"/>
      <c r="Q358" s="444"/>
      <c r="R358" s="116"/>
      <c r="S358" s="458"/>
      <c r="T358" s="458"/>
      <c r="U358" s="116"/>
      <c r="V358" s="116"/>
      <c r="W358" s="116"/>
      <c r="X358" s="116"/>
      <c r="Y358" s="116"/>
      <c r="Z358" s="116"/>
      <c r="AA358" s="116"/>
      <c r="AB358" s="116"/>
      <c r="AC358" s="116"/>
      <c r="AD358" s="116"/>
      <c r="AE358" s="116"/>
      <c r="AF358" s="116"/>
      <c r="AG358" s="116"/>
      <c r="AH358" s="116"/>
      <c r="AI358" s="116"/>
    </row>
    <row r="359" spans="1:35" x14ac:dyDescent="0.25">
      <c r="A359" s="548"/>
      <c r="B359" s="548"/>
      <c r="C359" s="548"/>
      <c r="D359" s="550"/>
      <c r="E359" s="555"/>
      <c r="F359" s="556"/>
      <c r="G359" s="548"/>
      <c r="H359" s="548"/>
      <c r="I359" s="548"/>
      <c r="J359" s="548"/>
      <c r="K359" s="557"/>
      <c r="L359" s="558"/>
      <c r="M359" s="548"/>
      <c r="N359" s="116"/>
      <c r="O359" s="553"/>
      <c r="P359" s="444"/>
      <c r="Q359" s="444"/>
      <c r="R359" s="116"/>
      <c r="S359" s="458"/>
      <c r="T359" s="458"/>
      <c r="U359" s="116"/>
      <c r="V359" s="116"/>
      <c r="W359" s="116"/>
      <c r="X359" s="116"/>
      <c r="Y359" s="116"/>
      <c r="Z359" s="116"/>
      <c r="AA359" s="116"/>
      <c r="AB359" s="116"/>
      <c r="AC359" s="116"/>
      <c r="AD359" s="116"/>
      <c r="AE359" s="116"/>
      <c r="AF359" s="116"/>
      <c r="AG359" s="116"/>
      <c r="AH359" s="116"/>
      <c r="AI359" s="116"/>
    </row>
    <row r="360" spans="1:35" x14ac:dyDescent="0.25">
      <c r="A360" s="116"/>
      <c r="B360" s="116"/>
      <c r="C360" s="116"/>
      <c r="D360" s="458"/>
      <c r="E360" s="116"/>
      <c r="F360" s="547"/>
      <c r="G360" s="116"/>
      <c r="H360" s="116"/>
      <c r="I360" s="116"/>
      <c r="J360" s="116"/>
      <c r="K360" s="469"/>
      <c r="L360" s="116"/>
      <c r="M360" s="116"/>
      <c r="N360" s="116"/>
      <c r="O360" s="553"/>
      <c r="P360" s="444"/>
      <c r="Q360" s="444"/>
      <c r="R360" s="116"/>
      <c r="S360" s="458"/>
      <c r="T360" s="458"/>
      <c r="U360" s="116"/>
      <c r="V360" s="116"/>
      <c r="W360" s="116"/>
      <c r="X360" s="116"/>
      <c r="Y360" s="116"/>
      <c r="Z360" s="116"/>
      <c r="AA360" s="116"/>
      <c r="AB360" s="116"/>
      <c r="AC360" s="116"/>
      <c r="AD360" s="116"/>
      <c r="AE360" s="116"/>
      <c r="AF360" s="116"/>
      <c r="AG360" s="116"/>
      <c r="AH360" s="116"/>
      <c r="AI360" s="116"/>
    </row>
    <row r="361" spans="1:35" x14ac:dyDescent="0.25">
      <c r="A361" s="116"/>
      <c r="B361" s="116"/>
      <c r="C361" s="116"/>
      <c r="D361" s="458"/>
      <c r="E361" s="116"/>
      <c r="F361" s="547"/>
      <c r="G361" s="116"/>
      <c r="H361" s="116"/>
      <c r="I361" s="116"/>
      <c r="J361" s="116"/>
      <c r="K361" s="469"/>
      <c r="L361" s="116"/>
      <c r="M361" s="116"/>
      <c r="N361" s="116"/>
      <c r="O361" s="553"/>
      <c r="P361" s="444"/>
      <c r="Q361" s="444"/>
      <c r="R361" s="116"/>
      <c r="S361" s="458"/>
      <c r="T361" s="458"/>
      <c r="U361" s="116"/>
      <c r="V361" s="116"/>
      <c r="W361" s="116"/>
      <c r="X361" s="116"/>
      <c r="Y361" s="116"/>
      <c r="Z361" s="116"/>
      <c r="AA361" s="116"/>
      <c r="AB361" s="116"/>
      <c r="AC361" s="116"/>
      <c r="AD361" s="116"/>
      <c r="AE361" s="116"/>
      <c r="AF361" s="116"/>
      <c r="AG361" s="116"/>
      <c r="AH361" s="116"/>
      <c r="AI361" s="116"/>
    </row>
    <row r="362" spans="1:35" x14ac:dyDescent="0.25">
      <c r="A362" s="116"/>
      <c r="B362" s="116"/>
      <c r="C362" s="116"/>
      <c r="D362" s="458"/>
      <c r="E362" s="116"/>
      <c r="F362" s="547"/>
      <c r="G362" s="116"/>
      <c r="H362" s="116"/>
      <c r="I362" s="116"/>
      <c r="J362" s="116"/>
      <c r="K362" s="469"/>
      <c r="L362" s="116"/>
      <c r="M362" s="116"/>
      <c r="N362" s="116"/>
      <c r="O362" s="553"/>
      <c r="P362" s="444"/>
      <c r="Q362" s="444"/>
      <c r="R362" s="116"/>
      <c r="S362" s="458"/>
      <c r="T362" s="458"/>
      <c r="U362" s="116"/>
      <c r="V362" s="116"/>
      <c r="W362" s="116"/>
      <c r="X362" s="116"/>
      <c r="Y362" s="116"/>
      <c r="Z362" s="116"/>
      <c r="AA362" s="116"/>
      <c r="AB362" s="116"/>
      <c r="AC362" s="116"/>
      <c r="AD362" s="116"/>
      <c r="AE362" s="116"/>
      <c r="AF362" s="116"/>
      <c r="AG362" s="116"/>
      <c r="AH362" s="116"/>
      <c r="AI362" s="116"/>
    </row>
    <row r="363" spans="1:35" x14ac:dyDescent="0.25">
      <c r="A363" s="116"/>
      <c r="B363" s="116"/>
      <c r="C363" s="116"/>
      <c r="D363" s="458"/>
      <c r="E363" s="116"/>
      <c r="F363" s="547"/>
      <c r="G363" s="116"/>
      <c r="H363" s="116"/>
      <c r="I363" s="116"/>
      <c r="J363" s="116"/>
      <c r="K363" s="469"/>
      <c r="L363" s="116"/>
      <c r="M363" s="116"/>
      <c r="N363" s="116"/>
      <c r="O363" s="553"/>
      <c r="P363" s="444"/>
      <c r="Q363" s="444"/>
      <c r="R363" s="116"/>
      <c r="S363" s="458"/>
      <c r="T363" s="458"/>
      <c r="U363" s="116"/>
      <c r="V363" s="116"/>
      <c r="W363" s="116"/>
      <c r="X363" s="116"/>
      <c r="Y363" s="116"/>
      <c r="Z363" s="116"/>
      <c r="AA363" s="116"/>
      <c r="AB363" s="116"/>
      <c r="AC363" s="116"/>
      <c r="AD363" s="116"/>
      <c r="AE363" s="116"/>
      <c r="AF363" s="116"/>
      <c r="AG363" s="116"/>
      <c r="AH363" s="116"/>
      <c r="AI363" s="116"/>
    </row>
    <row r="364" spans="1:35" x14ac:dyDescent="0.25">
      <c r="A364" s="116"/>
      <c r="B364" s="116"/>
      <c r="C364" s="116"/>
      <c r="D364" s="458"/>
      <c r="E364" s="116"/>
      <c r="F364" s="547"/>
      <c r="G364" s="116"/>
      <c r="H364" s="116"/>
      <c r="I364" s="116"/>
      <c r="J364" s="116"/>
      <c r="K364" s="469"/>
      <c r="L364" s="116"/>
      <c r="M364" s="116"/>
      <c r="N364" s="116"/>
      <c r="O364" s="554"/>
      <c r="P364" s="444"/>
      <c r="Q364" s="444"/>
      <c r="R364" s="116"/>
      <c r="S364" s="458"/>
      <c r="T364" s="458"/>
      <c r="U364" s="116"/>
      <c r="V364" s="116"/>
      <c r="W364" s="116"/>
      <c r="X364" s="116"/>
      <c r="Y364" s="116"/>
      <c r="Z364" s="116"/>
      <c r="AA364" s="116"/>
      <c r="AB364" s="116"/>
      <c r="AC364" s="116"/>
      <c r="AD364" s="116"/>
      <c r="AE364" s="116"/>
      <c r="AF364" s="116"/>
      <c r="AG364" s="116"/>
      <c r="AH364" s="116"/>
      <c r="AI364" s="116"/>
    </row>
    <row r="365" spans="1:35" x14ac:dyDescent="0.25">
      <c r="A365" s="116"/>
      <c r="B365" s="116"/>
      <c r="C365" s="116"/>
      <c r="D365" s="458"/>
      <c r="E365" s="116"/>
      <c r="F365" s="547"/>
      <c r="G365" s="116"/>
      <c r="H365" s="116"/>
      <c r="I365" s="116"/>
      <c r="J365" s="116"/>
      <c r="K365" s="469"/>
      <c r="L365" s="116"/>
      <c r="M365" s="116"/>
      <c r="N365" s="116"/>
      <c r="O365" s="554"/>
      <c r="P365" s="444"/>
      <c r="Q365" s="444"/>
      <c r="R365" s="116"/>
      <c r="S365" s="458"/>
      <c r="T365" s="458"/>
      <c r="U365" s="116"/>
      <c r="V365" s="116"/>
      <c r="W365" s="116"/>
      <c r="X365" s="116"/>
      <c r="Y365" s="116"/>
      <c r="Z365" s="116"/>
      <c r="AA365" s="116"/>
      <c r="AB365" s="116"/>
      <c r="AC365" s="116"/>
      <c r="AD365" s="116"/>
      <c r="AE365" s="116"/>
      <c r="AF365" s="116"/>
      <c r="AG365" s="116"/>
      <c r="AH365" s="116"/>
      <c r="AI365" s="116"/>
    </row>
    <row r="366" spans="1:35" x14ac:dyDescent="0.25">
      <c r="A366" s="116"/>
      <c r="B366" s="116"/>
      <c r="C366" s="116"/>
      <c r="D366" s="458"/>
      <c r="E366" s="116"/>
      <c r="F366" s="547"/>
      <c r="G366" s="116"/>
      <c r="H366" s="116"/>
      <c r="I366" s="116"/>
      <c r="J366" s="116"/>
      <c r="K366" s="469"/>
      <c r="L366" s="116"/>
      <c r="M366" s="116"/>
      <c r="N366" s="116"/>
      <c r="O366" s="554"/>
      <c r="P366" s="444"/>
      <c r="Q366" s="444"/>
      <c r="R366" s="116"/>
      <c r="S366" s="458"/>
      <c r="T366" s="458"/>
      <c r="U366" s="116"/>
      <c r="V366" s="116"/>
      <c r="W366" s="116"/>
      <c r="X366" s="116"/>
      <c r="Y366" s="116"/>
      <c r="Z366" s="116"/>
      <c r="AA366" s="116"/>
      <c r="AB366" s="116"/>
      <c r="AC366" s="116"/>
      <c r="AD366" s="116"/>
      <c r="AE366" s="116"/>
      <c r="AF366" s="116"/>
      <c r="AG366" s="116"/>
      <c r="AH366" s="116"/>
      <c r="AI366" s="116"/>
    </row>
    <row r="367" spans="1:35" x14ac:dyDescent="0.25">
      <c r="A367" s="116"/>
      <c r="B367" s="116"/>
      <c r="C367" s="116"/>
      <c r="D367" s="458"/>
      <c r="E367" s="116"/>
      <c r="F367" s="547"/>
      <c r="G367" s="116"/>
      <c r="H367" s="116"/>
      <c r="I367" s="116"/>
      <c r="J367" s="116"/>
      <c r="K367" s="469"/>
      <c r="L367" s="116"/>
      <c r="M367" s="116"/>
      <c r="N367" s="116"/>
      <c r="O367" s="554"/>
      <c r="P367" s="444"/>
      <c r="Q367" s="444"/>
      <c r="R367" s="116"/>
      <c r="S367" s="458"/>
      <c r="T367" s="458"/>
      <c r="U367" s="116"/>
      <c r="V367" s="116"/>
      <c r="W367" s="116"/>
      <c r="X367" s="116"/>
      <c r="Y367" s="116"/>
      <c r="Z367" s="116"/>
      <c r="AA367" s="116"/>
      <c r="AB367" s="116"/>
      <c r="AC367" s="116"/>
      <c r="AD367" s="116"/>
      <c r="AE367" s="116"/>
      <c r="AF367" s="116"/>
      <c r="AG367" s="116"/>
      <c r="AH367" s="116"/>
      <c r="AI367" s="116"/>
    </row>
    <row r="368" spans="1:35" x14ac:dyDescent="0.25">
      <c r="A368" s="116"/>
      <c r="B368" s="116"/>
      <c r="C368" s="116"/>
      <c r="D368" s="458"/>
      <c r="E368" s="116"/>
      <c r="F368" s="547"/>
      <c r="G368" s="116"/>
      <c r="H368" s="116"/>
      <c r="I368" s="116"/>
      <c r="J368" s="116"/>
      <c r="K368" s="469"/>
      <c r="L368" s="116"/>
      <c r="M368" s="116"/>
      <c r="N368" s="116"/>
      <c r="O368" s="554"/>
      <c r="P368" s="444"/>
      <c r="Q368" s="444"/>
      <c r="R368" s="116"/>
      <c r="S368" s="458"/>
      <c r="T368" s="458"/>
      <c r="U368" s="116"/>
      <c r="V368" s="116"/>
      <c r="W368" s="116"/>
      <c r="X368" s="116"/>
      <c r="Y368" s="116"/>
      <c r="Z368" s="116"/>
      <c r="AA368" s="116"/>
      <c r="AB368" s="116"/>
      <c r="AC368" s="116"/>
      <c r="AD368" s="116"/>
      <c r="AE368" s="116"/>
      <c r="AF368" s="116"/>
      <c r="AG368" s="116"/>
      <c r="AH368" s="116"/>
      <c r="AI368" s="116"/>
    </row>
    <row r="369" spans="1:35" x14ac:dyDescent="0.25">
      <c r="A369" s="116"/>
      <c r="B369" s="116"/>
      <c r="C369" s="116"/>
      <c r="D369" s="458"/>
      <c r="E369" s="116"/>
      <c r="F369" s="547"/>
      <c r="G369" s="116"/>
      <c r="H369" s="116"/>
      <c r="I369" s="116"/>
      <c r="J369" s="116"/>
      <c r="K369" s="469"/>
      <c r="L369" s="116"/>
      <c r="M369" s="116"/>
      <c r="N369" s="116"/>
      <c r="O369" s="554"/>
      <c r="P369" s="444"/>
      <c r="Q369" s="444"/>
      <c r="R369" s="116"/>
      <c r="S369" s="458"/>
      <c r="T369" s="458"/>
      <c r="U369" s="116"/>
      <c r="V369" s="116"/>
      <c r="W369" s="116"/>
      <c r="X369" s="116"/>
      <c r="Y369" s="116"/>
      <c r="Z369" s="116"/>
      <c r="AA369" s="116"/>
      <c r="AB369" s="116"/>
      <c r="AC369" s="116"/>
      <c r="AD369" s="116"/>
      <c r="AE369" s="116"/>
      <c r="AF369" s="116"/>
      <c r="AG369" s="116"/>
      <c r="AH369" s="116"/>
      <c r="AI369" s="116"/>
    </row>
    <row r="370" spans="1:35" x14ac:dyDescent="0.25">
      <c r="A370" s="116"/>
      <c r="B370" s="116"/>
      <c r="C370" s="116"/>
      <c r="D370" s="458"/>
      <c r="E370" s="116"/>
      <c r="F370" s="547"/>
      <c r="G370" s="116"/>
      <c r="H370" s="116"/>
      <c r="I370" s="116"/>
      <c r="J370" s="116"/>
      <c r="K370" s="469"/>
      <c r="L370" s="116"/>
      <c r="M370" s="116"/>
      <c r="N370" s="116"/>
      <c r="O370" s="554"/>
      <c r="P370" s="444"/>
      <c r="Q370" s="444"/>
      <c r="R370" s="116"/>
      <c r="S370" s="458"/>
      <c r="T370" s="458"/>
      <c r="U370" s="116"/>
      <c r="V370" s="116"/>
      <c r="W370" s="116"/>
      <c r="X370" s="116"/>
      <c r="Y370" s="116"/>
      <c r="Z370" s="116"/>
      <c r="AA370" s="116"/>
      <c r="AB370" s="116"/>
      <c r="AC370" s="116"/>
      <c r="AD370" s="116"/>
      <c r="AE370" s="116"/>
      <c r="AF370" s="116"/>
      <c r="AG370" s="116"/>
      <c r="AH370" s="116"/>
      <c r="AI370" s="116"/>
    </row>
    <row r="371" spans="1:35" x14ac:dyDescent="0.25">
      <c r="A371" s="116"/>
      <c r="B371" s="116"/>
      <c r="C371" s="116"/>
      <c r="D371" s="458"/>
      <c r="E371" s="116"/>
      <c r="F371" s="547"/>
      <c r="G371" s="116"/>
      <c r="H371" s="116"/>
      <c r="I371" s="116"/>
      <c r="J371" s="116"/>
      <c r="K371" s="469"/>
      <c r="L371" s="116"/>
      <c r="M371" s="116"/>
      <c r="N371" s="116"/>
      <c r="O371" s="554"/>
      <c r="P371" s="444"/>
      <c r="Q371" s="444"/>
      <c r="R371" s="116"/>
      <c r="S371" s="458"/>
      <c r="T371" s="458"/>
      <c r="U371" s="116"/>
      <c r="V371" s="116"/>
      <c r="W371" s="116"/>
      <c r="X371" s="116"/>
      <c r="Y371" s="116"/>
      <c r="Z371" s="116"/>
      <c r="AA371" s="116"/>
      <c r="AB371" s="116"/>
      <c r="AC371" s="116"/>
      <c r="AD371" s="116"/>
      <c r="AE371" s="116"/>
      <c r="AF371" s="116"/>
      <c r="AG371" s="116"/>
      <c r="AH371" s="116"/>
      <c r="AI371" s="116"/>
    </row>
    <row r="372" spans="1:35" x14ac:dyDescent="0.25">
      <c r="A372" s="116"/>
      <c r="B372" s="116"/>
      <c r="C372" s="116"/>
      <c r="D372" s="458"/>
      <c r="E372" s="116"/>
      <c r="F372" s="547"/>
      <c r="G372" s="116"/>
      <c r="H372" s="116"/>
      <c r="I372" s="116"/>
      <c r="J372" s="116"/>
      <c r="K372" s="469"/>
      <c r="L372" s="116"/>
      <c r="M372" s="116"/>
      <c r="N372" s="116"/>
      <c r="O372" s="554"/>
      <c r="P372" s="444"/>
      <c r="Q372" s="444"/>
      <c r="R372" s="116"/>
      <c r="S372" s="458"/>
      <c r="T372" s="458"/>
      <c r="U372" s="116"/>
      <c r="V372" s="116"/>
      <c r="W372" s="116"/>
      <c r="X372" s="116"/>
      <c r="Y372" s="116"/>
      <c r="Z372" s="116"/>
      <c r="AA372" s="116"/>
      <c r="AB372" s="116"/>
      <c r="AC372" s="116"/>
      <c r="AD372" s="116"/>
      <c r="AE372" s="116"/>
      <c r="AF372" s="116"/>
      <c r="AG372" s="116"/>
      <c r="AH372" s="116"/>
      <c r="AI372" s="116"/>
    </row>
    <row r="373" spans="1:35" x14ac:dyDescent="0.25">
      <c r="A373" s="116"/>
      <c r="B373" s="116"/>
      <c r="C373" s="116"/>
      <c r="D373" s="458"/>
      <c r="E373" s="116"/>
      <c r="F373" s="547"/>
      <c r="G373" s="116"/>
      <c r="H373" s="116"/>
      <c r="I373" s="116"/>
      <c r="J373" s="116"/>
      <c r="K373" s="469"/>
      <c r="L373" s="116"/>
      <c r="M373" s="116"/>
      <c r="N373" s="116"/>
      <c r="O373" s="554"/>
      <c r="P373" s="444"/>
      <c r="Q373" s="444"/>
      <c r="R373" s="116"/>
      <c r="S373" s="458"/>
      <c r="T373" s="458"/>
      <c r="U373" s="116"/>
      <c r="V373" s="116"/>
      <c r="W373" s="116"/>
      <c r="X373" s="116"/>
      <c r="Y373" s="116"/>
      <c r="Z373" s="116"/>
      <c r="AA373" s="116"/>
      <c r="AB373" s="116"/>
      <c r="AC373" s="116"/>
      <c r="AD373" s="116"/>
      <c r="AE373" s="116"/>
      <c r="AF373" s="116"/>
      <c r="AG373" s="116"/>
      <c r="AH373" s="116"/>
      <c r="AI373" s="116"/>
    </row>
    <row r="374" spans="1:35" x14ac:dyDescent="0.25">
      <c r="A374" s="116"/>
      <c r="B374" s="116"/>
      <c r="C374" s="116"/>
      <c r="D374" s="458"/>
      <c r="E374" s="116"/>
      <c r="F374" s="547"/>
      <c r="G374" s="116"/>
      <c r="H374" s="116"/>
      <c r="I374" s="116"/>
      <c r="J374" s="116"/>
      <c r="K374" s="469"/>
      <c r="L374" s="116"/>
      <c r="M374" s="116"/>
      <c r="N374" s="116"/>
      <c r="O374" s="554"/>
      <c r="P374" s="444"/>
      <c r="Q374" s="444"/>
      <c r="R374" s="116"/>
      <c r="S374" s="458"/>
      <c r="T374" s="458"/>
      <c r="U374" s="116"/>
      <c r="V374" s="116"/>
      <c r="W374" s="116"/>
      <c r="X374" s="116"/>
      <c r="Y374" s="116"/>
      <c r="Z374" s="116"/>
      <c r="AA374" s="116"/>
      <c r="AB374" s="116"/>
      <c r="AC374" s="116"/>
      <c r="AD374" s="116"/>
      <c r="AE374" s="116"/>
      <c r="AF374" s="116"/>
      <c r="AG374" s="116"/>
      <c r="AH374" s="116"/>
      <c r="AI374" s="116"/>
    </row>
    <row r="375" spans="1:35" x14ac:dyDescent="0.25">
      <c r="A375" s="116"/>
      <c r="B375" s="116"/>
      <c r="C375" s="116"/>
      <c r="D375" s="458"/>
      <c r="E375" s="116"/>
      <c r="F375" s="547"/>
      <c r="G375" s="116"/>
      <c r="H375" s="116"/>
      <c r="I375" s="116"/>
      <c r="J375" s="116"/>
      <c r="K375" s="469"/>
      <c r="L375" s="116"/>
      <c r="M375" s="116"/>
      <c r="N375" s="116"/>
      <c r="O375" s="554"/>
      <c r="P375" s="444"/>
      <c r="Q375" s="444"/>
      <c r="R375" s="116"/>
      <c r="S375" s="458"/>
      <c r="T375" s="458"/>
      <c r="U375" s="116"/>
      <c r="V375" s="116"/>
      <c r="W375" s="116"/>
      <c r="X375" s="116"/>
      <c r="Y375" s="116"/>
      <c r="Z375" s="116"/>
      <c r="AA375" s="116"/>
      <c r="AB375" s="116"/>
      <c r="AC375" s="116"/>
      <c r="AD375" s="116"/>
      <c r="AE375" s="116"/>
      <c r="AF375" s="116"/>
      <c r="AG375" s="116"/>
      <c r="AH375" s="116"/>
      <c r="AI375" s="116"/>
    </row>
    <row r="376" spans="1:35" x14ac:dyDescent="0.25">
      <c r="A376" s="116"/>
      <c r="B376" s="116"/>
      <c r="C376" s="116"/>
      <c r="D376" s="458"/>
      <c r="E376" s="116"/>
      <c r="F376" s="547"/>
      <c r="G376" s="116"/>
      <c r="H376" s="116"/>
      <c r="I376" s="116"/>
      <c r="J376" s="116"/>
      <c r="K376" s="469"/>
      <c r="L376" s="116"/>
      <c r="M376" s="116"/>
      <c r="N376" s="116"/>
      <c r="O376" s="554"/>
      <c r="P376" s="444"/>
      <c r="Q376" s="444"/>
      <c r="R376" s="116"/>
      <c r="S376" s="458"/>
      <c r="T376" s="458"/>
      <c r="U376" s="116"/>
      <c r="V376" s="116"/>
      <c r="W376" s="116"/>
      <c r="X376" s="116"/>
      <c r="Y376" s="116"/>
      <c r="Z376" s="116"/>
      <c r="AA376" s="116"/>
      <c r="AB376" s="116"/>
      <c r="AC376" s="116"/>
      <c r="AD376" s="116"/>
      <c r="AE376" s="116"/>
      <c r="AF376" s="116"/>
      <c r="AG376" s="116"/>
      <c r="AH376" s="116"/>
      <c r="AI376" s="116"/>
    </row>
    <row r="377" spans="1:35" x14ac:dyDescent="0.25">
      <c r="A377" s="116"/>
      <c r="B377" s="116"/>
      <c r="C377" s="116"/>
      <c r="D377" s="458"/>
      <c r="E377" s="116"/>
      <c r="F377" s="547"/>
      <c r="G377" s="116"/>
      <c r="H377" s="116"/>
      <c r="I377" s="116"/>
      <c r="J377" s="116"/>
      <c r="K377" s="469"/>
      <c r="L377" s="116"/>
      <c r="M377" s="116"/>
      <c r="N377" s="116"/>
      <c r="O377" s="554"/>
      <c r="P377" s="444"/>
      <c r="Q377" s="444"/>
      <c r="R377" s="116"/>
      <c r="S377" s="458"/>
      <c r="T377" s="458"/>
      <c r="U377" s="116"/>
      <c r="V377" s="116"/>
      <c r="W377" s="116"/>
      <c r="X377" s="116"/>
      <c r="Y377" s="116"/>
      <c r="Z377" s="116"/>
      <c r="AA377" s="116"/>
      <c r="AB377" s="116"/>
      <c r="AC377" s="116"/>
      <c r="AD377" s="116"/>
      <c r="AE377" s="116"/>
      <c r="AF377" s="116"/>
      <c r="AG377" s="116"/>
      <c r="AH377" s="116"/>
      <c r="AI377" s="116"/>
    </row>
    <row r="378" spans="1:35" x14ac:dyDescent="0.25">
      <c r="A378" s="116"/>
      <c r="B378" s="116"/>
      <c r="C378" s="116"/>
      <c r="D378" s="458"/>
      <c r="E378" s="116"/>
      <c r="F378" s="547"/>
      <c r="G378" s="116"/>
      <c r="H378" s="116"/>
      <c r="I378" s="116"/>
      <c r="J378" s="116"/>
      <c r="K378" s="469"/>
      <c r="L378" s="116"/>
      <c r="M378" s="116"/>
      <c r="N378" s="116"/>
      <c r="O378" s="554"/>
      <c r="P378" s="444"/>
      <c r="Q378" s="444"/>
      <c r="R378" s="116"/>
      <c r="S378" s="458"/>
      <c r="T378" s="458"/>
      <c r="U378" s="116"/>
      <c r="V378" s="116"/>
      <c r="W378" s="116"/>
      <c r="X378" s="116"/>
      <c r="Y378" s="116"/>
      <c r="Z378" s="116"/>
      <c r="AA378" s="116"/>
      <c r="AB378" s="116"/>
      <c r="AC378" s="116"/>
      <c r="AD378" s="116"/>
      <c r="AE378" s="116"/>
      <c r="AF378" s="116"/>
      <c r="AG378" s="116"/>
      <c r="AH378" s="116"/>
      <c r="AI378" s="116"/>
    </row>
    <row r="379" spans="1:35" x14ac:dyDescent="0.25">
      <c r="A379" s="116"/>
      <c r="B379" s="116"/>
      <c r="C379" s="116"/>
      <c r="D379" s="458"/>
      <c r="E379" s="116"/>
      <c r="F379" s="547"/>
      <c r="G379" s="116"/>
      <c r="H379" s="116"/>
      <c r="I379" s="116"/>
      <c r="J379" s="116"/>
      <c r="K379" s="469"/>
      <c r="L379" s="116"/>
      <c r="M379" s="116"/>
      <c r="N379" s="116"/>
      <c r="O379" s="554"/>
      <c r="P379" s="444"/>
      <c r="Q379" s="444"/>
      <c r="R379" s="116"/>
      <c r="S379" s="458"/>
      <c r="T379" s="458"/>
      <c r="U379" s="116"/>
      <c r="V379" s="116"/>
      <c r="W379" s="116"/>
      <c r="X379" s="116"/>
      <c r="Y379" s="116"/>
      <c r="Z379" s="116"/>
      <c r="AA379" s="116"/>
      <c r="AB379" s="116"/>
      <c r="AC379" s="116"/>
      <c r="AD379" s="116"/>
      <c r="AE379" s="116"/>
      <c r="AF379" s="116"/>
      <c r="AG379" s="116"/>
      <c r="AH379" s="116"/>
      <c r="AI379" s="116"/>
    </row>
    <row r="380" spans="1:35" x14ac:dyDescent="0.25">
      <c r="A380" s="116"/>
      <c r="B380" s="116"/>
      <c r="C380" s="116"/>
      <c r="D380" s="458"/>
      <c r="E380" s="116"/>
      <c r="F380" s="547"/>
      <c r="G380" s="116"/>
      <c r="H380" s="116"/>
      <c r="I380" s="116"/>
      <c r="J380" s="116"/>
      <c r="K380" s="469"/>
      <c r="L380" s="116"/>
      <c r="M380" s="116"/>
      <c r="N380" s="116"/>
      <c r="O380" s="554"/>
      <c r="P380" s="444"/>
      <c r="Q380" s="444"/>
      <c r="R380" s="116"/>
      <c r="S380" s="458"/>
      <c r="T380" s="458"/>
      <c r="U380" s="116"/>
      <c r="V380" s="116"/>
      <c r="W380" s="116"/>
      <c r="X380" s="116"/>
      <c r="Y380" s="116"/>
      <c r="Z380" s="116"/>
      <c r="AA380" s="116"/>
      <c r="AB380" s="116"/>
      <c r="AC380" s="116"/>
      <c r="AD380" s="116"/>
      <c r="AE380" s="116"/>
      <c r="AF380" s="116"/>
      <c r="AG380" s="116"/>
      <c r="AH380" s="116"/>
      <c r="AI380" s="116"/>
    </row>
    <row r="381" spans="1:35" x14ac:dyDescent="0.25">
      <c r="A381" s="116"/>
      <c r="B381" s="116"/>
      <c r="C381" s="116"/>
      <c r="D381" s="458"/>
      <c r="E381" s="116"/>
      <c r="F381" s="547"/>
      <c r="G381" s="116"/>
      <c r="H381" s="116"/>
      <c r="I381" s="116"/>
      <c r="J381" s="116"/>
      <c r="K381" s="469"/>
      <c r="L381" s="116"/>
      <c r="M381" s="116"/>
      <c r="N381" s="116"/>
      <c r="O381" s="554"/>
      <c r="P381" s="444"/>
      <c r="Q381" s="444"/>
      <c r="R381" s="116"/>
      <c r="S381" s="458"/>
      <c r="T381" s="458"/>
      <c r="U381" s="116"/>
      <c r="V381" s="116"/>
      <c r="W381" s="116"/>
      <c r="X381" s="116"/>
      <c r="Y381" s="116"/>
      <c r="Z381" s="116"/>
      <c r="AA381" s="116"/>
      <c r="AB381" s="116"/>
      <c r="AC381" s="116"/>
      <c r="AD381" s="116"/>
      <c r="AE381" s="116"/>
      <c r="AF381" s="116"/>
      <c r="AG381" s="116"/>
      <c r="AH381" s="116"/>
      <c r="AI381" s="116"/>
    </row>
    <row r="382" spans="1:35" x14ac:dyDescent="0.25">
      <c r="A382" s="116"/>
      <c r="B382" s="116"/>
      <c r="C382" s="116"/>
      <c r="D382" s="458"/>
      <c r="E382" s="116"/>
      <c r="F382" s="547"/>
      <c r="G382" s="116"/>
      <c r="H382" s="116"/>
      <c r="I382" s="116"/>
      <c r="J382" s="116"/>
      <c r="K382" s="469"/>
      <c r="L382" s="116"/>
      <c r="M382" s="116"/>
      <c r="N382" s="116"/>
      <c r="O382" s="554"/>
      <c r="P382" s="444"/>
      <c r="Q382" s="444"/>
      <c r="R382" s="116"/>
      <c r="S382" s="458"/>
      <c r="T382" s="458"/>
      <c r="U382" s="116"/>
      <c r="V382" s="116"/>
      <c r="W382" s="116"/>
      <c r="X382" s="116"/>
      <c r="Y382" s="116"/>
      <c r="Z382" s="116"/>
      <c r="AA382" s="116"/>
      <c r="AB382" s="116"/>
      <c r="AC382" s="116"/>
      <c r="AD382" s="116"/>
      <c r="AE382" s="116"/>
      <c r="AF382" s="116"/>
      <c r="AG382" s="116"/>
      <c r="AH382" s="116"/>
      <c r="AI382" s="116"/>
    </row>
    <row r="383" spans="1:35" x14ac:dyDescent="0.25">
      <c r="A383" s="116"/>
      <c r="B383" s="116"/>
      <c r="C383" s="116"/>
      <c r="D383" s="458"/>
      <c r="E383" s="116"/>
      <c r="F383" s="547"/>
      <c r="G383" s="116"/>
      <c r="H383" s="116"/>
      <c r="I383" s="116"/>
      <c r="J383" s="116"/>
      <c r="K383" s="469"/>
      <c r="L383" s="116"/>
      <c r="M383" s="116"/>
      <c r="N383" s="116"/>
      <c r="O383" s="554"/>
      <c r="P383" s="444"/>
      <c r="Q383" s="444"/>
      <c r="R383" s="116"/>
      <c r="S383" s="458"/>
      <c r="T383" s="458"/>
      <c r="U383" s="116"/>
      <c r="V383" s="116"/>
      <c r="W383" s="116"/>
      <c r="X383" s="116"/>
      <c r="Y383" s="116"/>
      <c r="Z383" s="116"/>
      <c r="AA383" s="116"/>
      <c r="AB383" s="116"/>
      <c r="AC383" s="116"/>
      <c r="AD383" s="116"/>
      <c r="AE383" s="116"/>
      <c r="AF383" s="116"/>
      <c r="AG383" s="116"/>
      <c r="AH383" s="116"/>
      <c r="AI383" s="116"/>
    </row>
    <row r="384" spans="1:35" x14ac:dyDescent="0.25">
      <c r="A384" s="116"/>
      <c r="B384" s="116"/>
      <c r="C384" s="116"/>
      <c r="D384" s="458"/>
      <c r="E384" s="116"/>
      <c r="F384" s="547"/>
      <c r="G384" s="116"/>
      <c r="H384" s="116"/>
      <c r="I384" s="116"/>
      <c r="J384" s="116"/>
      <c r="K384" s="469"/>
      <c r="L384" s="116"/>
      <c r="M384" s="116"/>
      <c r="N384" s="116"/>
      <c r="O384" s="554"/>
      <c r="P384" s="444"/>
      <c r="Q384" s="444"/>
      <c r="R384" s="116"/>
      <c r="S384" s="458"/>
      <c r="T384" s="458"/>
      <c r="U384" s="116"/>
      <c r="V384" s="116"/>
      <c r="W384" s="116"/>
      <c r="X384" s="116"/>
      <c r="Y384" s="116"/>
      <c r="Z384" s="116"/>
      <c r="AA384" s="116"/>
      <c r="AB384" s="116"/>
      <c r="AC384" s="116"/>
      <c r="AD384" s="116"/>
      <c r="AE384" s="116"/>
      <c r="AF384" s="116"/>
      <c r="AG384" s="116"/>
      <c r="AH384" s="116"/>
      <c r="AI384" s="116"/>
    </row>
    <row r="385" spans="1:35" x14ac:dyDescent="0.25">
      <c r="A385" s="116"/>
      <c r="B385" s="116"/>
      <c r="C385" s="116"/>
      <c r="D385" s="458"/>
      <c r="E385" s="116"/>
      <c r="F385" s="547"/>
      <c r="G385" s="116"/>
      <c r="H385" s="116"/>
      <c r="I385" s="116"/>
      <c r="J385" s="116"/>
      <c r="K385" s="469"/>
      <c r="L385" s="116"/>
      <c r="M385" s="116"/>
      <c r="N385" s="116"/>
      <c r="O385" s="554"/>
      <c r="P385" s="444"/>
      <c r="Q385" s="444"/>
      <c r="R385" s="116"/>
      <c r="S385" s="458"/>
      <c r="T385" s="458"/>
      <c r="U385" s="116"/>
      <c r="V385" s="116"/>
      <c r="W385" s="116"/>
      <c r="X385" s="116"/>
      <c r="Y385" s="116"/>
      <c r="Z385" s="116"/>
      <c r="AA385" s="116"/>
      <c r="AB385" s="116"/>
      <c r="AC385" s="116"/>
      <c r="AD385" s="116"/>
      <c r="AE385" s="116"/>
      <c r="AF385" s="116"/>
      <c r="AG385" s="116"/>
      <c r="AH385" s="116"/>
      <c r="AI385" s="116"/>
    </row>
    <row r="386" spans="1:35" x14ac:dyDescent="0.25">
      <c r="A386" s="116"/>
      <c r="B386" s="116"/>
      <c r="C386" s="116"/>
      <c r="D386" s="458"/>
      <c r="E386" s="116"/>
      <c r="F386" s="547"/>
      <c r="G386" s="116"/>
      <c r="H386" s="116"/>
      <c r="I386" s="116"/>
      <c r="J386" s="116"/>
      <c r="K386" s="469"/>
      <c r="L386" s="116"/>
      <c r="M386" s="116"/>
      <c r="N386" s="116"/>
      <c r="O386" s="554"/>
      <c r="P386" s="444"/>
      <c r="Q386" s="444"/>
      <c r="R386" s="116"/>
      <c r="S386" s="458"/>
      <c r="T386" s="458"/>
      <c r="U386" s="116"/>
      <c r="V386" s="116"/>
      <c r="W386" s="116"/>
      <c r="X386" s="116"/>
      <c r="Y386" s="116"/>
      <c r="Z386" s="116"/>
      <c r="AA386" s="116"/>
      <c r="AB386" s="116"/>
      <c r="AC386" s="116"/>
      <c r="AD386" s="116"/>
      <c r="AE386" s="116"/>
      <c r="AF386" s="116"/>
      <c r="AG386" s="116"/>
      <c r="AH386" s="116"/>
      <c r="AI386" s="116"/>
    </row>
    <row r="387" spans="1:35" x14ac:dyDescent="0.25">
      <c r="A387" s="116"/>
      <c r="B387" s="116"/>
      <c r="C387" s="116"/>
      <c r="D387" s="458"/>
      <c r="E387" s="116"/>
      <c r="F387" s="547"/>
      <c r="G387" s="116"/>
      <c r="H387" s="116"/>
      <c r="I387" s="116"/>
      <c r="J387" s="116"/>
      <c r="K387" s="469"/>
      <c r="L387" s="116"/>
      <c r="M387" s="116"/>
      <c r="N387" s="116"/>
      <c r="O387" s="554"/>
      <c r="P387" s="444"/>
      <c r="Q387" s="444"/>
      <c r="R387" s="116"/>
      <c r="S387" s="458"/>
      <c r="T387" s="458"/>
      <c r="U387" s="116"/>
      <c r="V387" s="116"/>
      <c r="W387" s="116"/>
      <c r="X387" s="116"/>
      <c r="Y387" s="116"/>
      <c r="Z387" s="116"/>
      <c r="AA387" s="116"/>
      <c r="AB387" s="116"/>
      <c r="AC387" s="116"/>
      <c r="AD387" s="116"/>
      <c r="AE387" s="116"/>
      <c r="AF387" s="116"/>
      <c r="AG387" s="116"/>
      <c r="AH387" s="116"/>
      <c r="AI387" s="116"/>
    </row>
    <row r="388" spans="1:35" x14ac:dyDescent="0.25">
      <c r="A388" s="116"/>
      <c r="B388" s="116"/>
      <c r="C388" s="116"/>
      <c r="D388" s="458"/>
      <c r="E388" s="116"/>
      <c r="F388" s="547"/>
      <c r="G388" s="116"/>
      <c r="H388" s="116"/>
      <c r="I388" s="116"/>
      <c r="J388" s="116"/>
      <c r="K388" s="469"/>
      <c r="L388" s="116"/>
      <c r="M388" s="116"/>
      <c r="N388" s="116"/>
      <c r="O388" s="554"/>
      <c r="P388" s="444"/>
      <c r="Q388" s="444"/>
      <c r="R388" s="116"/>
      <c r="S388" s="458"/>
      <c r="T388" s="458"/>
      <c r="U388" s="116"/>
      <c r="V388" s="116"/>
      <c r="W388" s="116"/>
      <c r="X388" s="116"/>
      <c r="Y388" s="116"/>
      <c r="Z388" s="116"/>
      <c r="AA388" s="116"/>
      <c r="AB388" s="116"/>
      <c r="AC388" s="116"/>
      <c r="AD388" s="116"/>
      <c r="AE388" s="116"/>
      <c r="AF388" s="116"/>
      <c r="AG388" s="116"/>
      <c r="AH388" s="116"/>
      <c r="AI388" s="116"/>
    </row>
    <row r="389" spans="1:35" x14ac:dyDescent="0.25">
      <c r="A389" s="116"/>
      <c r="B389" s="116"/>
      <c r="C389" s="116"/>
      <c r="D389" s="458"/>
      <c r="E389" s="116"/>
      <c r="F389" s="547"/>
      <c r="G389" s="116"/>
      <c r="H389" s="116"/>
      <c r="I389" s="116"/>
      <c r="J389" s="116"/>
      <c r="K389" s="469"/>
      <c r="L389" s="116"/>
      <c r="M389" s="116"/>
      <c r="N389" s="116"/>
      <c r="O389" s="554"/>
      <c r="P389" s="444"/>
      <c r="Q389" s="444"/>
      <c r="R389" s="116"/>
      <c r="S389" s="458"/>
      <c r="T389" s="458"/>
      <c r="U389" s="116"/>
      <c r="V389" s="116"/>
      <c r="W389" s="116"/>
      <c r="X389" s="116"/>
      <c r="Y389" s="116"/>
      <c r="Z389" s="116"/>
      <c r="AA389" s="116"/>
      <c r="AB389" s="116"/>
      <c r="AC389" s="116"/>
      <c r="AD389" s="116"/>
      <c r="AE389" s="116"/>
      <c r="AF389" s="116"/>
      <c r="AG389" s="116"/>
      <c r="AH389" s="116"/>
      <c r="AI389" s="116"/>
    </row>
    <row r="390" spans="1:35" x14ac:dyDescent="0.25">
      <c r="A390" s="116"/>
      <c r="B390" s="116"/>
      <c r="C390" s="116"/>
      <c r="D390" s="458"/>
      <c r="E390" s="116"/>
      <c r="F390" s="547"/>
      <c r="G390" s="116"/>
      <c r="H390" s="116"/>
      <c r="I390" s="116"/>
      <c r="J390" s="116"/>
      <c r="K390" s="469"/>
      <c r="L390" s="116"/>
      <c r="M390" s="116"/>
      <c r="N390" s="116"/>
      <c r="O390" s="554"/>
      <c r="P390" s="444"/>
      <c r="Q390" s="444"/>
      <c r="R390" s="116"/>
      <c r="S390" s="458"/>
      <c r="T390" s="458"/>
      <c r="U390" s="116"/>
      <c r="V390" s="116"/>
      <c r="W390" s="116"/>
      <c r="X390" s="116"/>
      <c r="Y390" s="116"/>
      <c r="Z390" s="116"/>
      <c r="AA390" s="116"/>
      <c r="AB390" s="116"/>
      <c r="AC390" s="116"/>
      <c r="AD390" s="116"/>
      <c r="AE390" s="116"/>
      <c r="AF390" s="116"/>
      <c r="AG390" s="116"/>
      <c r="AH390" s="116"/>
      <c r="AI390" s="116"/>
    </row>
    <row r="391" spans="1:35" x14ac:dyDescent="0.25">
      <c r="A391" s="116"/>
      <c r="B391" s="116"/>
      <c r="C391" s="116"/>
      <c r="D391" s="458"/>
      <c r="E391" s="116"/>
      <c r="F391" s="547"/>
      <c r="G391" s="116"/>
      <c r="H391" s="116"/>
      <c r="I391" s="116"/>
      <c r="J391" s="116"/>
      <c r="K391" s="469"/>
      <c r="L391" s="116"/>
      <c r="M391" s="116"/>
      <c r="N391" s="116"/>
      <c r="O391" s="554"/>
      <c r="P391" s="444"/>
      <c r="Q391" s="444"/>
      <c r="R391" s="116"/>
      <c r="S391" s="458"/>
      <c r="T391" s="458"/>
      <c r="U391" s="116"/>
      <c r="V391" s="116"/>
      <c r="W391" s="116"/>
      <c r="X391" s="116"/>
      <c r="Y391" s="116"/>
      <c r="Z391" s="116"/>
      <c r="AA391" s="116"/>
      <c r="AB391" s="116"/>
      <c r="AC391" s="116"/>
      <c r="AD391" s="116"/>
      <c r="AE391" s="116"/>
      <c r="AF391" s="116"/>
      <c r="AG391" s="116"/>
      <c r="AH391" s="116"/>
      <c r="AI391" s="116"/>
    </row>
    <row r="392" spans="1:35" x14ac:dyDescent="0.25">
      <c r="A392" s="116"/>
      <c r="B392" s="116"/>
      <c r="C392" s="116"/>
      <c r="D392" s="458"/>
      <c r="E392" s="116"/>
      <c r="F392" s="547"/>
      <c r="G392" s="116"/>
      <c r="H392" s="116"/>
      <c r="I392" s="116"/>
      <c r="J392" s="116"/>
      <c r="K392" s="469"/>
      <c r="L392" s="116"/>
      <c r="M392" s="116"/>
      <c r="N392" s="116"/>
      <c r="O392" s="554"/>
      <c r="P392" s="444"/>
      <c r="Q392" s="444"/>
      <c r="R392" s="116"/>
      <c r="S392" s="458"/>
      <c r="T392" s="458"/>
      <c r="U392" s="116"/>
      <c r="V392" s="116"/>
      <c r="W392" s="116"/>
      <c r="X392" s="116"/>
      <c r="Y392" s="116"/>
      <c r="Z392" s="116"/>
      <c r="AA392" s="116"/>
      <c r="AB392" s="116"/>
      <c r="AC392" s="116"/>
      <c r="AD392" s="116"/>
      <c r="AE392" s="116"/>
      <c r="AF392" s="116"/>
      <c r="AG392" s="116"/>
      <c r="AH392" s="116"/>
      <c r="AI392" s="116"/>
    </row>
    <row r="393" spans="1:35" x14ac:dyDescent="0.25">
      <c r="A393" s="116"/>
      <c r="B393" s="116"/>
      <c r="C393" s="116"/>
      <c r="D393" s="458"/>
      <c r="E393" s="116"/>
      <c r="F393" s="547"/>
      <c r="G393" s="116"/>
      <c r="H393" s="116"/>
      <c r="I393" s="116"/>
      <c r="J393" s="116"/>
      <c r="K393" s="469"/>
      <c r="L393" s="116"/>
      <c r="M393" s="116"/>
      <c r="N393" s="116"/>
      <c r="O393" s="554"/>
      <c r="P393" s="444"/>
      <c r="Q393" s="444"/>
      <c r="R393" s="116"/>
      <c r="S393" s="458"/>
      <c r="T393" s="458"/>
      <c r="U393" s="116"/>
      <c r="V393" s="116"/>
      <c r="W393" s="116"/>
      <c r="X393" s="116"/>
      <c r="Y393" s="116"/>
      <c r="Z393" s="116"/>
      <c r="AA393" s="116"/>
      <c r="AB393" s="116"/>
      <c r="AC393" s="116"/>
      <c r="AD393" s="116"/>
      <c r="AE393" s="116"/>
      <c r="AF393" s="116"/>
      <c r="AG393" s="116"/>
      <c r="AH393" s="116"/>
      <c r="AI393" s="116"/>
    </row>
    <row r="394" spans="1:35" x14ac:dyDescent="0.25">
      <c r="A394" s="116"/>
      <c r="B394" s="116"/>
      <c r="C394" s="116"/>
      <c r="D394" s="458"/>
      <c r="E394" s="116"/>
      <c r="F394" s="547"/>
      <c r="G394" s="116"/>
      <c r="H394" s="116"/>
      <c r="I394" s="116"/>
      <c r="J394" s="116"/>
      <c r="K394" s="469"/>
      <c r="L394" s="116"/>
      <c r="M394" s="116"/>
      <c r="N394" s="116"/>
      <c r="O394" s="554"/>
      <c r="P394" s="444"/>
      <c r="Q394" s="444"/>
      <c r="R394" s="116"/>
      <c r="S394" s="458"/>
      <c r="T394" s="458"/>
      <c r="U394" s="116"/>
      <c r="V394" s="116"/>
      <c r="W394" s="116"/>
      <c r="X394" s="116"/>
      <c r="Y394" s="116"/>
      <c r="Z394" s="116"/>
      <c r="AA394" s="116"/>
      <c r="AB394" s="116"/>
      <c r="AC394" s="116"/>
      <c r="AD394" s="116"/>
      <c r="AE394" s="116"/>
      <c r="AF394" s="116"/>
      <c r="AG394" s="116"/>
      <c r="AH394" s="116"/>
      <c r="AI394" s="116"/>
    </row>
    <row r="395" spans="1:35" x14ac:dyDescent="0.25">
      <c r="A395" s="116"/>
      <c r="B395" s="116"/>
      <c r="C395" s="116"/>
      <c r="D395" s="458"/>
      <c r="E395" s="116"/>
      <c r="F395" s="547"/>
      <c r="G395" s="116"/>
      <c r="H395" s="116"/>
      <c r="I395" s="116"/>
      <c r="J395" s="116"/>
      <c r="K395" s="469"/>
      <c r="L395" s="116"/>
      <c r="M395" s="116"/>
      <c r="N395" s="116"/>
      <c r="O395" s="554"/>
      <c r="P395" s="444"/>
      <c r="Q395" s="444"/>
      <c r="R395" s="116"/>
      <c r="S395" s="458"/>
      <c r="T395" s="458"/>
      <c r="U395" s="116"/>
      <c r="V395" s="116"/>
      <c r="W395" s="116"/>
      <c r="X395" s="116"/>
      <c r="Y395" s="116"/>
      <c r="Z395" s="116"/>
      <c r="AA395" s="116"/>
      <c r="AB395" s="116"/>
      <c r="AC395" s="116"/>
      <c r="AD395" s="116"/>
      <c r="AE395" s="116"/>
      <c r="AF395" s="116"/>
      <c r="AG395" s="116"/>
      <c r="AH395" s="116"/>
      <c r="AI395" s="116"/>
    </row>
    <row r="396" spans="1:35" x14ac:dyDescent="0.25">
      <c r="A396" s="116"/>
      <c r="B396" s="116"/>
      <c r="C396" s="116"/>
      <c r="D396" s="458"/>
      <c r="E396" s="116"/>
      <c r="F396" s="547"/>
      <c r="G396" s="116"/>
      <c r="H396" s="116"/>
      <c r="I396" s="116"/>
      <c r="J396" s="116"/>
      <c r="K396" s="469"/>
      <c r="L396" s="116"/>
      <c r="M396" s="116"/>
      <c r="N396" s="116"/>
      <c r="O396" s="554"/>
      <c r="P396" s="444"/>
      <c r="Q396" s="444"/>
      <c r="R396" s="116"/>
      <c r="S396" s="458"/>
      <c r="T396" s="458"/>
      <c r="U396" s="116"/>
      <c r="V396" s="116"/>
      <c r="W396" s="116"/>
      <c r="X396" s="116"/>
      <c r="Y396" s="116"/>
      <c r="Z396" s="116"/>
      <c r="AA396" s="116"/>
      <c r="AB396" s="116"/>
      <c r="AC396" s="116"/>
      <c r="AD396" s="116"/>
      <c r="AE396" s="116"/>
      <c r="AF396" s="116"/>
      <c r="AG396" s="116"/>
      <c r="AH396" s="116"/>
      <c r="AI396" s="116"/>
    </row>
    <row r="397" spans="1:35" x14ac:dyDescent="0.25">
      <c r="A397" s="116"/>
      <c r="B397" s="116"/>
      <c r="C397" s="116"/>
      <c r="D397" s="458"/>
      <c r="E397" s="116"/>
      <c r="F397" s="547"/>
      <c r="G397" s="116"/>
      <c r="H397" s="116"/>
      <c r="I397" s="116"/>
      <c r="J397" s="116"/>
      <c r="K397" s="469"/>
      <c r="L397" s="116"/>
      <c r="M397" s="116"/>
      <c r="N397" s="116"/>
      <c r="O397" s="554"/>
      <c r="P397" s="444"/>
      <c r="Q397" s="444"/>
      <c r="R397" s="116"/>
      <c r="S397" s="458"/>
      <c r="T397" s="458"/>
      <c r="U397" s="116"/>
      <c r="V397" s="116"/>
      <c r="W397" s="116"/>
      <c r="X397" s="116"/>
      <c r="Y397" s="116"/>
      <c r="Z397" s="116"/>
      <c r="AA397" s="116"/>
      <c r="AB397" s="116"/>
      <c r="AC397" s="116"/>
      <c r="AD397" s="116"/>
      <c r="AE397" s="116"/>
      <c r="AF397" s="116"/>
      <c r="AG397" s="116"/>
      <c r="AH397" s="116"/>
      <c r="AI397" s="116"/>
    </row>
    <row r="398" spans="1:35" x14ac:dyDescent="0.25">
      <c r="A398" s="116"/>
      <c r="B398" s="116"/>
      <c r="C398" s="116"/>
      <c r="D398" s="458"/>
      <c r="E398" s="116"/>
      <c r="F398" s="547"/>
      <c r="G398" s="116"/>
      <c r="H398" s="116"/>
      <c r="I398" s="116"/>
      <c r="J398" s="116"/>
      <c r="K398" s="469"/>
      <c r="L398" s="116"/>
      <c r="M398" s="116"/>
      <c r="N398" s="116"/>
      <c r="O398" s="554"/>
      <c r="P398" s="444"/>
      <c r="Q398" s="444"/>
      <c r="R398" s="116"/>
      <c r="S398" s="458"/>
      <c r="T398" s="458"/>
      <c r="U398" s="116"/>
      <c r="V398" s="116"/>
      <c r="W398" s="116"/>
      <c r="X398" s="116"/>
      <c r="Y398" s="116"/>
      <c r="Z398" s="116"/>
      <c r="AA398" s="116"/>
      <c r="AB398" s="116"/>
      <c r="AC398" s="116"/>
      <c r="AD398" s="116"/>
      <c r="AE398" s="116"/>
      <c r="AF398" s="116"/>
      <c r="AG398" s="116"/>
      <c r="AH398" s="116"/>
      <c r="AI398" s="116"/>
    </row>
    <row r="399" spans="1:35" x14ac:dyDescent="0.25">
      <c r="A399" s="116"/>
      <c r="B399" s="116"/>
      <c r="C399" s="116"/>
      <c r="D399" s="458"/>
      <c r="E399" s="116"/>
      <c r="F399" s="547"/>
      <c r="G399" s="116"/>
      <c r="H399" s="116"/>
      <c r="I399" s="116"/>
      <c r="J399" s="116"/>
      <c r="K399" s="469"/>
      <c r="L399" s="116"/>
      <c r="M399" s="116"/>
      <c r="N399" s="116"/>
      <c r="O399" s="554"/>
      <c r="P399" s="444"/>
      <c r="Q399" s="444"/>
      <c r="R399" s="116"/>
      <c r="S399" s="458"/>
      <c r="T399" s="458"/>
      <c r="U399" s="116"/>
      <c r="V399" s="116"/>
      <c r="W399" s="116"/>
      <c r="X399" s="116"/>
      <c r="Y399" s="116"/>
      <c r="Z399" s="116"/>
      <c r="AA399" s="116"/>
      <c r="AB399" s="116"/>
      <c r="AC399" s="116"/>
      <c r="AD399" s="116"/>
      <c r="AE399" s="116"/>
      <c r="AF399" s="116"/>
      <c r="AG399" s="116"/>
      <c r="AH399" s="116"/>
      <c r="AI399" s="116"/>
    </row>
    <row r="400" spans="1:35" x14ac:dyDescent="0.25">
      <c r="A400" s="116"/>
      <c r="B400" s="116"/>
      <c r="C400" s="116"/>
      <c r="D400" s="458"/>
      <c r="E400" s="116"/>
      <c r="F400" s="547"/>
      <c r="G400" s="116"/>
      <c r="H400" s="116"/>
      <c r="I400" s="116"/>
      <c r="J400" s="116"/>
      <c r="K400" s="469"/>
      <c r="L400" s="116"/>
      <c r="M400" s="116"/>
      <c r="N400" s="116"/>
      <c r="O400" s="554"/>
      <c r="P400" s="444"/>
      <c r="Q400" s="444"/>
      <c r="R400" s="116"/>
      <c r="S400" s="458"/>
      <c r="T400" s="458"/>
      <c r="U400" s="116"/>
      <c r="V400" s="116"/>
      <c r="W400" s="116"/>
      <c r="X400" s="116"/>
      <c r="Y400" s="116"/>
      <c r="Z400" s="116"/>
      <c r="AA400" s="116"/>
      <c r="AB400" s="116"/>
      <c r="AC400" s="116"/>
      <c r="AD400" s="116"/>
      <c r="AE400" s="116"/>
      <c r="AF400" s="116"/>
      <c r="AG400" s="116"/>
      <c r="AH400" s="116"/>
      <c r="AI400" s="116"/>
    </row>
    <row r="401" spans="1:35" x14ac:dyDescent="0.25">
      <c r="A401" s="116"/>
      <c r="B401" s="116"/>
      <c r="C401" s="116"/>
      <c r="D401" s="458"/>
      <c r="E401" s="116"/>
      <c r="F401" s="547"/>
      <c r="G401" s="116"/>
      <c r="H401" s="116"/>
      <c r="I401" s="116"/>
      <c r="J401" s="116"/>
      <c r="K401" s="469"/>
      <c r="L401" s="116"/>
      <c r="M401" s="116"/>
      <c r="N401" s="116"/>
      <c r="O401" s="554"/>
      <c r="P401" s="444"/>
      <c r="Q401" s="444"/>
      <c r="R401" s="116"/>
      <c r="S401" s="458"/>
      <c r="T401" s="458"/>
      <c r="U401" s="116"/>
      <c r="V401" s="116"/>
      <c r="W401" s="116"/>
      <c r="X401" s="116"/>
      <c r="Y401" s="116"/>
      <c r="Z401" s="116"/>
      <c r="AA401" s="116"/>
      <c r="AB401" s="116"/>
      <c r="AC401" s="116"/>
      <c r="AD401" s="116"/>
      <c r="AE401" s="116"/>
      <c r="AF401" s="116"/>
      <c r="AG401" s="116"/>
      <c r="AH401" s="116"/>
      <c r="AI401" s="116"/>
    </row>
    <row r="402" spans="1:35" x14ac:dyDescent="0.25">
      <c r="A402" s="116"/>
      <c r="B402" s="116"/>
      <c r="C402" s="116"/>
      <c r="D402" s="458"/>
      <c r="E402" s="116"/>
      <c r="F402" s="547"/>
      <c r="G402" s="116"/>
      <c r="H402" s="116"/>
      <c r="I402" s="116"/>
      <c r="J402" s="116"/>
      <c r="K402" s="469"/>
      <c r="L402" s="116"/>
      <c r="M402" s="116"/>
      <c r="N402" s="116"/>
      <c r="O402" s="554"/>
      <c r="P402" s="444"/>
      <c r="Q402" s="444"/>
      <c r="R402" s="116"/>
      <c r="S402" s="458"/>
      <c r="T402" s="458"/>
      <c r="U402" s="116"/>
      <c r="V402" s="116"/>
      <c r="W402" s="116"/>
      <c r="X402" s="116"/>
      <c r="Y402" s="116"/>
      <c r="Z402" s="116"/>
      <c r="AA402" s="116"/>
      <c r="AB402" s="116"/>
      <c r="AC402" s="116"/>
      <c r="AD402" s="116"/>
      <c r="AE402" s="116"/>
      <c r="AF402" s="116"/>
      <c r="AG402" s="116"/>
      <c r="AH402" s="116"/>
      <c r="AI402" s="116"/>
    </row>
    <row r="403" spans="1:35" x14ac:dyDescent="0.25">
      <c r="A403" s="116"/>
      <c r="B403" s="116"/>
      <c r="C403" s="116"/>
      <c r="D403" s="458"/>
      <c r="E403" s="116"/>
      <c r="F403" s="547"/>
      <c r="G403" s="116"/>
      <c r="H403" s="116"/>
      <c r="I403" s="116"/>
      <c r="J403" s="116"/>
      <c r="K403" s="469"/>
      <c r="L403" s="116"/>
      <c r="M403" s="116"/>
      <c r="N403" s="116"/>
      <c r="O403" s="554"/>
      <c r="P403" s="444"/>
      <c r="Q403" s="444"/>
      <c r="R403" s="116"/>
      <c r="S403" s="458"/>
      <c r="T403" s="458"/>
      <c r="U403" s="116"/>
      <c r="V403" s="116"/>
      <c r="W403" s="116"/>
      <c r="X403" s="116"/>
      <c r="Y403" s="116"/>
      <c r="Z403" s="116"/>
      <c r="AA403" s="116"/>
      <c r="AB403" s="116"/>
      <c r="AC403" s="116"/>
      <c r="AD403" s="116"/>
      <c r="AE403" s="116"/>
      <c r="AF403" s="116"/>
      <c r="AG403" s="116"/>
      <c r="AH403" s="116"/>
      <c r="AI403" s="116"/>
    </row>
    <row r="404" spans="1:35" x14ac:dyDescent="0.25">
      <c r="A404" s="116"/>
      <c r="B404" s="116"/>
      <c r="C404" s="116"/>
      <c r="D404" s="458"/>
      <c r="E404" s="116"/>
      <c r="F404" s="547"/>
      <c r="G404" s="116"/>
      <c r="H404" s="116"/>
      <c r="I404" s="116"/>
      <c r="J404" s="116"/>
      <c r="K404" s="469"/>
      <c r="L404" s="116"/>
      <c r="M404" s="116"/>
      <c r="N404" s="116"/>
      <c r="O404" s="554"/>
      <c r="P404" s="444"/>
      <c r="Q404" s="444"/>
      <c r="R404" s="116"/>
      <c r="S404" s="458"/>
      <c r="T404" s="458"/>
      <c r="U404" s="116"/>
      <c r="V404" s="116"/>
      <c r="W404" s="116"/>
      <c r="X404" s="116"/>
      <c r="Y404" s="116"/>
      <c r="Z404" s="116"/>
      <c r="AA404" s="116"/>
      <c r="AB404" s="116"/>
      <c r="AC404" s="116"/>
      <c r="AD404" s="116"/>
      <c r="AE404" s="116"/>
      <c r="AF404" s="116"/>
      <c r="AG404" s="116"/>
      <c r="AH404" s="116"/>
      <c r="AI404" s="116"/>
    </row>
    <row r="405" spans="1:35" x14ac:dyDescent="0.25">
      <c r="A405" s="116"/>
      <c r="B405" s="116"/>
      <c r="C405" s="116"/>
      <c r="D405" s="458"/>
      <c r="E405" s="116"/>
      <c r="F405" s="547"/>
      <c r="G405" s="116"/>
      <c r="H405" s="116"/>
      <c r="I405" s="116"/>
      <c r="J405" s="116"/>
      <c r="K405" s="469"/>
      <c r="L405" s="116"/>
      <c r="M405" s="116"/>
      <c r="N405" s="116"/>
      <c r="O405" s="554"/>
      <c r="P405" s="444"/>
      <c r="Q405" s="444"/>
      <c r="R405" s="116"/>
      <c r="S405" s="458"/>
      <c r="T405" s="458"/>
      <c r="U405" s="116"/>
      <c r="V405" s="116"/>
      <c r="W405" s="116"/>
      <c r="X405" s="116"/>
      <c r="Y405" s="116"/>
      <c r="Z405" s="116"/>
      <c r="AA405" s="116"/>
      <c r="AB405" s="116"/>
      <c r="AC405" s="116"/>
      <c r="AD405" s="116"/>
      <c r="AE405" s="116"/>
      <c r="AF405" s="116"/>
      <c r="AG405" s="116"/>
      <c r="AH405" s="116"/>
      <c r="AI405" s="116"/>
    </row>
    <row r="406" spans="1:35" x14ac:dyDescent="0.25">
      <c r="A406" s="116"/>
      <c r="B406" s="116"/>
      <c r="C406" s="116"/>
      <c r="D406" s="458"/>
      <c r="E406" s="116"/>
      <c r="F406" s="547"/>
      <c r="G406" s="116"/>
      <c r="H406" s="116"/>
      <c r="I406" s="116"/>
      <c r="J406" s="116"/>
      <c r="K406" s="469"/>
      <c r="L406" s="116"/>
      <c r="M406" s="116"/>
      <c r="N406" s="116"/>
      <c r="O406" s="554"/>
      <c r="P406" s="444"/>
      <c r="Q406" s="444"/>
      <c r="R406" s="116"/>
      <c r="S406" s="458"/>
      <c r="T406" s="458"/>
      <c r="U406" s="116"/>
      <c r="V406" s="116"/>
      <c r="W406" s="116"/>
      <c r="X406" s="116"/>
      <c r="Y406" s="116"/>
      <c r="Z406" s="116"/>
      <c r="AA406" s="116"/>
      <c r="AB406" s="116"/>
      <c r="AC406" s="116"/>
      <c r="AD406" s="116"/>
      <c r="AE406" s="116"/>
      <c r="AF406" s="116"/>
      <c r="AG406" s="116"/>
      <c r="AH406" s="116"/>
      <c r="AI406" s="116"/>
    </row>
    <row r="407" spans="1:35" x14ac:dyDescent="0.25">
      <c r="A407" s="116"/>
      <c r="B407" s="116"/>
      <c r="C407" s="116"/>
      <c r="D407" s="458"/>
      <c r="E407" s="116"/>
      <c r="F407" s="547"/>
      <c r="G407" s="116"/>
      <c r="H407" s="116"/>
      <c r="I407" s="116"/>
      <c r="J407" s="116"/>
      <c r="K407" s="469"/>
      <c r="L407" s="116"/>
      <c r="M407" s="116"/>
      <c r="N407" s="116"/>
      <c r="O407" s="554"/>
      <c r="P407" s="444"/>
      <c r="Q407" s="444"/>
      <c r="R407" s="116"/>
      <c r="S407" s="458"/>
      <c r="T407" s="458"/>
      <c r="U407" s="116"/>
      <c r="V407" s="116"/>
      <c r="W407" s="116"/>
      <c r="X407" s="116"/>
      <c r="Y407" s="116"/>
      <c r="Z407" s="116"/>
      <c r="AA407" s="116"/>
      <c r="AB407" s="116"/>
      <c r="AC407" s="116"/>
      <c r="AD407" s="116"/>
      <c r="AE407" s="116"/>
      <c r="AF407" s="116"/>
      <c r="AG407" s="116"/>
      <c r="AH407" s="116"/>
      <c r="AI407" s="116"/>
    </row>
    <row r="408" spans="1:35" x14ac:dyDescent="0.25">
      <c r="A408" s="116"/>
      <c r="B408" s="116"/>
      <c r="C408" s="116"/>
      <c r="D408" s="458"/>
      <c r="E408" s="116"/>
      <c r="F408" s="547"/>
      <c r="G408" s="116"/>
      <c r="H408" s="116"/>
      <c r="I408" s="116"/>
      <c r="J408" s="116"/>
      <c r="K408" s="469"/>
      <c r="L408" s="116"/>
      <c r="M408" s="116"/>
      <c r="N408" s="116"/>
      <c r="O408" s="554"/>
      <c r="P408" s="444"/>
      <c r="Q408" s="444"/>
      <c r="R408" s="116"/>
      <c r="S408" s="458"/>
      <c r="T408" s="458"/>
      <c r="U408" s="116"/>
      <c r="V408" s="116"/>
      <c r="W408" s="116"/>
      <c r="X408" s="116"/>
      <c r="Y408" s="116"/>
      <c r="Z408" s="116"/>
      <c r="AA408" s="116"/>
      <c r="AB408" s="116"/>
      <c r="AC408" s="116"/>
      <c r="AD408" s="116"/>
      <c r="AE408" s="116"/>
      <c r="AF408" s="116"/>
      <c r="AG408" s="116"/>
      <c r="AH408" s="116"/>
      <c r="AI408" s="116"/>
    </row>
    <row r="409" spans="1:35" x14ac:dyDescent="0.25">
      <c r="A409" s="116"/>
      <c r="B409" s="116"/>
      <c r="C409" s="116"/>
      <c r="D409" s="458"/>
      <c r="E409" s="116"/>
      <c r="F409" s="547"/>
      <c r="G409" s="116"/>
      <c r="H409" s="116"/>
      <c r="I409" s="116"/>
      <c r="J409" s="116"/>
      <c r="K409" s="469"/>
      <c r="L409" s="116"/>
      <c r="M409" s="116"/>
      <c r="N409" s="116"/>
      <c r="O409" s="554"/>
      <c r="P409" s="444"/>
      <c r="Q409" s="444"/>
      <c r="R409" s="116"/>
      <c r="S409" s="458"/>
      <c r="T409" s="458"/>
      <c r="U409" s="116"/>
      <c r="V409" s="116"/>
      <c r="W409" s="116"/>
      <c r="X409" s="116"/>
      <c r="Y409" s="116"/>
      <c r="Z409" s="116"/>
      <c r="AA409" s="116"/>
      <c r="AB409" s="116"/>
      <c r="AC409" s="116"/>
      <c r="AD409" s="116"/>
      <c r="AE409" s="116"/>
      <c r="AF409" s="116"/>
      <c r="AG409" s="116"/>
      <c r="AH409" s="116"/>
      <c r="AI409" s="116"/>
    </row>
    <row r="410" spans="1:35" x14ac:dyDescent="0.25">
      <c r="A410" s="116"/>
      <c r="B410" s="116"/>
      <c r="C410" s="116"/>
      <c r="D410" s="458"/>
      <c r="E410" s="116"/>
      <c r="F410" s="547"/>
      <c r="G410" s="116"/>
      <c r="H410" s="116"/>
      <c r="I410" s="116"/>
      <c r="J410" s="116"/>
      <c r="K410" s="469"/>
      <c r="L410" s="116"/>
      <c r="M410" s="116"/>
      <c r="N410" s="116"/>
      <c r="O410" s="554"/>
      <c r="P410" s="444"/>
      <c r="Q410" s="444"/>
      <c r="R410" s="116"/>
      <c r="S410" s="458"/>
      <c r="T410" s="458"/>
      <c r="U410" s="116"/>
      <c r="V410" s="116"/>
      <c r="W410" s="116"/>
      <c r="X410" s="116"/>
      <c r="Y410" s="116"/>
      <c r="Z410" s="116"/>
      <c r="AA410" s="116"/>
      <c r="AB410" s="116"/>
      <c r="AC410" s="116"/>
      <c r="AD410" s="116"/>
      <c r="AE410" s="116"/>
      <c r="AF410" s="116"/>
      <c r="AG410" s="116"/>
      <c r="AH410" s="116"/>
      <c r="AI410" s="116"/>
    </row>
    <row r="411" spans="1:35" x14ac:dyDescent="0.25">
      <c r="A411" s="116"/>
      <c r="B411" s="116"/>
      <c r="C411" s="116"/>
      <c r="D411" s="458"/>
      <c r="E411" s="116"/>
      <c r="F411" s="547"/>
      <c r="G411" s="116"/>
      <c r="H411" s="116"/>
      <c r="I411" s="116"/>
      <c r="J411" s="116"/>
      <c r="K411" s="469"/>
      <c r="L411" s="116"/>
      <c r="M411" s="116"/>
      <c r="N411" s="116"/>
      <c r="O411" s="554"/>
      <c r="P411" s="444"/>
      <c r="Q411" s="444"/>
      <c r="R411" s="116"/>
      <c r="S411" s="458"/>
      <c r="T411" s="458"/>
      <c r="U411" s="116"/>
      <c r="V411" s="116"/>
      <c r="W411" s="116"/>
      <c r="X411" s="116"/>
      <c r="Y411" s="116"/>
      <c r="Z411" s="116"/>
      <c r="AA411" s="116"/>
      <c r="AB411" s="116"/>
      <c r="AC411" s="116"/>
      <c r="AD411" s="116"/>
      <c r="AE411" s="116"/>
      <c r="AF411" s="116"/>
      <c r="AG411" s="116"/>
      <c r="AH411" s="116"/>
      <c r="AI411" s="116"/>
    </row>
    <row r="412" spans="1:35" x14ac:dyDescent="0.25">
      <c r="A412" s="116"/>
      <c r="B412" s="116"/>
      <c r="C412" s="116"/>
      <c r="D412" s="458"/>
      <c r="E412" s="116"/>
      <c r="F412" s="547"/>
      <c r="G412" s="116"/>
      <c r="H412" s="116"/>
      <c r="I412" s="116"/>
      <c r="J412" s="116"/>
      <c r="K412" s="469"/>
      <c r="L412" s="116"/>
      <c r="M412" s="116"/>
      <c r="N412" s="116"/>
      <c r="O412" s="554"/>
      <c r="P412" s="444"/>
      <c r="Q412" s="444"/>
      <c r="R412" s="116"/>
      <c r="S412" s="458"/>
      <c r="T412" s="458"/>
      <c r="U412" s="116"/>
      <c r="V412" s="116"/>
      <c r="W412" s="116"/>
      <c r="X412" s="116"/>
      <c r="Y412" s="116"/>
      <c r="Z412" s="116"/>
      <c r="AA412" s="116"/>
      <c r="AB412" s="116"/>
      <c r="AC412" s="116"/>
      <c r="AD412" s="116"/>
      <c r="AE412" s="116"/>
      <c r="AF412" s="116"/>
      <c r="AG412" s="116"/>
      <c r="AH412" s="116"/>
      <c r="AI412" s="116"/>
    </row>
    <row r="413" spans="1:35" x14ac:dyDescent="0.25">
      <c r="A413" s="116"/>
      <c r="B413" s="116"/>
      <c r="C413" s="116"/>
      <c r="D413" s="458"/>
      <c r="E413" s="116"/>
      <c r="F413" s="547"/>
      <c r="G413" s="116"/>
      <c r="H413" s="116"/>
      <c r="I413" s="116"/>
      <c r="J413" s="116"/>
      <c r="K413" s="469"/>
      <c r="L413" s="116"/>
      <c r="M413" s="116"/>
      <c r="N413" s="116"/>
      <c r="O413" s="554"/>
      <c r="P413" s="444"/>
      <c r="Q413" s="444"/>
      <c r="R413" s="116"/>
      <c r="S413" s="458"/>
      <c r="T413" s="458"/>
      <c r="U413" s="116"/>
      <c r="V413" s="116"/>
      <c r="W413" s="116"/>
      <c r="X413" s="116"/>
      <c r="Y413" s="116"/>
      <c r="Z413" s="116"/>
      <c r="AA413" s="116"/>
      <c r="AB413" s="116"/>
      <c r="AC413" s="116"/>
      <c r="AD413" s="116"/>
      <c r="AE413" s="116"/>
      <c r="AF413" s="116"/>
      <c r="AG413" s="116"/>
      <c r="AH413" s="116"/>
      <c r="AI413" s="116"/>
    </row>
    <row r="414" spans="1:35" x14ac:dyDescent="0.25">
      <c r="A414" s="116"/>
      <c r="B414" s="116"/>
      <c r="C414" s="116"/>
      <c r="D414" s="458"/>
      <c r="E414" s="116"/>
      <c r="F414" s="547"/>
      <c r="G414" s="116"/>
      <c r="H414" s="116"/>
      <c r="I414" s="116"/>
      <c r="J414" s="116"/>
      <c r="K414" s="469"/>
      <c r="L414" s="116"/>
      <c r="M414" s="116"/>
      <c r="N414" s="116"/>
      <c r="O414" s="554"/>
      <c r="P414" s="444"/>
      <c r="Q414" s="444"/>
      <c r="R414" s="116"/>
      <c r="S414" s="458"/>
      <c r="T414" s="458"/>
      <c r="U414" s="116"/>
      <c r="V414" s="116"/>
      <c r="W414" s="116"/>
      <c r="X414" s="116"/>
      <c r="Y414" s="116"/>
      <c r="Z414" s="116"/>
      <c r="AA414" s="116"/>
      <c r="AB414" s="116"/>
      <c r="AC414" s="116"/>
      <c r="AD414" s="116"/>
      <c r="AE414" s="116"/>
      <c r="AF414" s="116"/>
      <c r="AG414" s="116"/>
      <c r="AH414" s="116"/>
      <c r="AI414" s="116"/>
    </row>
    <row r="415" spans="1:35" x14ac:dyDescent="0.25">
      <c r="A415" s="116"/>
      <c r="B415" s="116"/>
      <c r="C415" s="116"/>
      <c r="D415" s="458"/>
      <c r="E415" s="116"/>
      <c r="F415" s="547"/>
      <c r="G415" s="116"/>
      <c r="H415" s="116"/>
      <c r="I415" s="116"/>
      <c r="J415" s="116"/>
      <c r="K415" s="469"/>
      <c r="L415" s="116"/>
      <c r="M415" s="116"/>
      <c r="N415" s="116"/>
      <c r="O415" s="554"/>
      <c r="P415" s="444"/>
      <c r="Q415" s="444"/>
      <c r="R415" s="116"/>
      <c r="S415" s="458"/>
      <c r="T415" s="458"/>
      <c r="U415" s="116"/>
      <c r="V415" s="116"/>
      <c r="W415" s="116"/>
      <c r="X415" s="116"/>
      <c r="Y415" s="116"/>
      <c r="Z415" s="116"/>
      <c r="AA415" s="116"/>
      <c r="AB415" s="116"/>
      <c r="AC415" s="116"/>
      <c r="AD415" s="116"/>
      <c r="AE415" s="116"/>
      <c r="AF415" s="116"/>
      <c r="AG415" s="116"/>
      <c r="AH415" s="116"/>
      <c r="AI415" s="116"/>
    </row>
    <row r="416" spans="1:35" x14ac:dyDescent="0.25">
      <c r="A416" s="116"/>
      <c r="B416" s="116"/>
      <c r="C416" s="116"/>
      <c r="D416" s="458"/>
      <c r="E416" s="116"/>
      <c r="F416" s="547"/>
      <c r="G416" s="116"/>
      <c r="H416" s="116"/>
      <c r="I416" s="116"/>
      <c r="J416" s="116"/>
      <c r="K416" s="469"/>
      <c r="L416" s="116"/>
      <c r="M416" s="116"/>
      <c r="N416" s="116"/>
      <c r="O416" s="554"/>
      <c r="P416" s="444"/>
      <c r="Q416" s="444"/>
      <c r="R416" s="116"/>
      <c r="S416" s="458"/>
      <c r="T416" s="458"/>
      <c r="U416" s="116"/>
      <c r="V416" s="116"/>
      <c r="W416" s="116"/>
      <c r="X416" s="116"/>
      <c r="Y416" s="116"/>
      <c r="Z416" s="116"/>
      <c r="AA416" s="116"/>
      <c r="AB416" s="116"/>
      <c r="AC416" s="116"/>
      <c r="AD416" s="116"/>
      <c r="AE416" s="116"/>
      <c r="AF416" s="116"/>
      <c r="AG416" s="116"/>
      <c r="AH416" s="116"/>
      <c r="AI416" s="116"/>
    </row>
    <row r="417" spans="1:35" x14ac:dyDescent="0.25">
      <c r="A417" s="116"/>
      <c r="B417" s="116"/>
      <c r="C417" s="116"/>
      <c r="D417" s="458"/>
      <c r="E417" s="116"/>
      <c r="F417" s="547"/>
      <c r="G417" s="116"/>
      <c r="H417" s="116"/>
      <c r="I417" s="116"/>
      <c r="J417" s="116"/>
      <c r="K417" s="469"/>
      <c r="L417" s="116"/>
      <c r="M417" s="116"/>
      <c r="N417" s="116"/>
      <c r="O417" s="554"/>
      <c r="P417" s="444"/>
      <c r="Q417" s="444"/>
      <c r="R417" s="116"/>
      <c r="S417" s="458"/>
      <c r="T417" s="458"/>
      <c r="U417" s="116"/>
      <c r="V417" s="116"/>
      <c r="W417" s="116"/>
      <c r="X417" s="116"/>
      <c r="Y417" s="116"/>
      <c r="Z417" s="116"/>
      <c r="AA417" s="116"/>
      <c r="AB417" s="116"/>
      <c r="AC417" s="116"/>
      <c r="AD417" s="116"/>
      <c r="AE417" s="116"/>
      <c r="AF417" s="116"/>
      <c r="AG417" s="116"/>
      <c r="AH417" s="116"/>
      <c r="AI417" s="116"/>
    </row>
    <row r="418" spans="1:35" x14ac:dyDescent="0.25">
      <c r="A418" s="116"/>
      <c r="B418" s="116"/>
      <c r="C418" s="116"/>
      <c r="D418" s="458"/>
      <c r="E418" s="116"/>
      <c r="F418" s="547"/>
      <c r="G418" s="116"/>
      <c r="H418" s="116"/>
      <c r="I418" s="116"/>
      <c r="J418" s="116"/>
      <c r="K418" s="469"/>
      <c r="L418" s="116"/>
      <c r="M418" s="116"/>
      <c r="N418" s="116"/>
      <c r="O418" s="554"/>
      <c r="P418" s="444"/>
      <c r="Q418" s="444"/>
      <c r="R418" s="116"/>
      <c r="S418" s="458"/>
      <c r="T418" s="458"/>
      <c r="U418" s="116"/>
      <c r="V418" s="116"/>
      <c r="W418" s="116"/>
      <c r="X418" s="116"/>
      <c r="Y418" s="116"/>
      <c r="Z418" s="116"/>
      <c r="AA418" s="116"/>
      <c r="AB418" s="116"/>
      <c r="AC418" s="116"/>
      <c r="AD418" s="116"/>
      <c r="AE418" s="116"/>
      <c r="AF418" s="116"/>
      <c r="AG418" s="116"/>
      <c r="AH418" s="116"/>
      <c r="AI418" s="116"/>
    </row>
    <row r="419" spans="1:35" x14ac:dyDescent="0.25">
      <c r="A419" s="116"/>
      <c r="B419" s="116"/>
      <c r="C419" s="116"/>
      <c r="D419" s="458"/>
      <c r="E419" s="116"/>
      <c r="F419" s="547"/>
      <c r="G419" s="116"/>
      <c r="H419" s="116"/>
      <c r="I419" s="116"/>
      <c r="J419" s="116"/>
      <c r="K419" s="469"/>
      <c r="L419" s="116"/>
      <c r="M419" s="116"/>
      <c r="N419" s="116"/>
      <c r="O419" s="554"/>
      <c r="P419" s="444"/>
      <c r="Q419" s="444"/>
      <c r="R419" s="116"/>
      <c r="S419" s="458"/>
      <c r="T419" s="458"/>
      <c r="U419" s="116"/>
      <c r="V419" s="116"/>
      <c r="W419" s="116"/>
      <c r="X419" s="116"/>
      <c r="Y419" s="116"/>
      <c r="Z419" s="116"/>
      <c r="AA419" s="116"/>
      <c r="AB419" s="116"/>
      <c r="AC419" s="116"/>
      <c r="AD419" s="116"/>
      <c r="AE419" s="116"/>
      <c r="AF419" s="116"/>
      <c r="AG419" s="116"/>
      <c r="AH419" s="116"/>
      <c r="AI419" s="116"/>
    </row>
    <row r="420" spans="1:35" x14ac:dyDescent="0.25">
      <c r="A420" s="116"/>
      <c r="B420" s="116"/>
      <c r="C420" s="116"/>
      <c r="D420" s="458"/>
      <c r="E420" s="116"/>
      <c r="F420" s="547"/>
      <c r="G420" s="116"/>
      <c r="H420" s="116"/>
      <c r="I420" s="116"/>
      <c r="J420" s="116"/>
      <c r="K420" s="469"/>
      <c r="L420" s="116"/>
      <c r="M420" s="116"/>
      <c r="N420" s="116"/>
      <c r="O420" s="554"/>
      <c r="P420" s="444"/>
      <c r="Q420" s="444"/>
      <c r="R420" s="116"/>
      <c r="S420" s="458"/>
      <c r="T420" s="458"/>
      <c r="U420" s="116"/>
      <c r="V420" s="116"/>
      <c r="W420" s="116"/>
      <c r="X420" s="116"/>
      <c r="Y420" s="116"/>
      <c r="Z420" s="116"/>
      <c r="AA420" s="116"/>
      <c r="AB420" s="116"/>
      <c r="AC420" s="116"/>
      <c r="AD420" s="116"/>
      <c r="AE420" s="116"/>
      <c r="AF420" s="116"/>
      <c r="AG420" s="116"/>
      <c r="AH420" s="116"/>
      <c r="AI420" s="116"/>
    </row>
    <row r="421" spans="1:35" x14ac:dyDescent="0.25">
      <c r="A421" s="116"/>
      <c r="B421" s="116"/>
      <c r="C421" s="116"/>
      <c r="D421" s="458"/>
      <c r="E421" s="116"/>
      <c r="F421" s="547"/>
      <c r="G421" s="116"/>
      <c r="H421" s="116"/>
      <c r="I421" s="116"/>
      <c r="J421" s="116"/>
      <c r="K421" s="469"/>
      <c r="L421" s="116"/>
      <c r="M421" s="116"/>
      <c r="N421" s="116"/>
      <c r="O421" s="554"/>
      <c r="P421" s="444"/>
      <c r="Q421" s="444"/>
      <c r="R421" s="116"/>
      <c r="S421" s="458"/>
      <c r="T421" s="458"/>
      <c r="U421" s="116"/>
      <c r="V421" s="116"/>
      <c r="W421" s="116"/>
      <c r="X421" s="116"/>
      <c r="Y421" s="116"/>
      <c r="Z421" s="116"/>
      <c r="AA421" s="116"/>
      <c r="AB421" s="116"/>
      <c r="AC421" s="116"/>
      <c r="AD421" s="116"/>
      <c r="AE421" s="116"/>
      <c r="AF421" s="116"/>
      <c r="AG421" s="116"/>
      <c r="AH421" s="116"/>
      <c r="AI421" s="116"/>
    </row>
    <row r="422" spans="1:35" x14ac:dyDescent="0.25">
      <c r="A422" s="116"/>
      <c r="B422" s="116"/>
      <c r="C422" s="116"/>
      <c r="D422" s="458"/>
      <c r="E422" s="116"/>
      <c r="F422" s="547"/>
      <c r="G422" s="116"/>
      <c r="H422" s="116"/>
      <c r="I422" s="116"/>
      <c r="J422" s="116"/>
      <c r="K422" s="469"/>
      <c r="L422" s="116"/>
      <c r="M422" s="116"/>
      <c r="N422" s="116"/>
      <c r="O422" s="554"/>
      <c r="P422" s="444"/>
      <c r="Q422" s="444"/>
      <c r="R422" s="116"/>
      <c r="S422" s="458"/>
      <c r="T422" s="458"/>
      <c r="U422" s="116"/>
      <c r="V422" s="116"/>
      <c r="W422" s="116"/>
      <c r="X422" s="116"/>
      <c r="Y422" s="116"/>
      <c r="Z422" s="116"/>
      <c r="AA422" s="116"/>
      <c r="AB422" s="116"/>
      <c r="AC422" s="116"/>
      <c r="AD422" s="116"/>
      <c r="AE422" s="116"/>
      <c r="AF422" s="116"/>
      <c r="AG422" s="116"/>
      <c r="AH422" s="116"/>
      <c r="AI422" s="116"/>
    </row>
    <row r="423" spans="1:35" x14ac:dyDescent="0.25">
      <c r="A423" s="116"/>
      <c r="B423" s="116"/>
      <c r="C423" s="116"/>
      <c r="D423" s="458"/>
      <c r="E423" s="116"/>
      <c r="F423" s="547"/>
      <c r="G423" s="116"/>
      <c r="H423" s="116"/>
      <c r="I423" s="116"/>
      <c r="J423" s="116"/>
      <c r="K423" s="469"/>
      <c r="L423" s="116"/>
      <c r="M423" s="116"/>
      <c r="N423" s="116"/>
      <c r="O423" s="554"/>
      <c r="P423" s="444"/>
      <c r="Q423" s="444"/>
      <c r="R423" s="116"/>
      <c r="S423" s="458"/>
      <c r="T423" s="458"/>
      <c r="U423" s="116"/>
      <c r="V423" s="116"/>
      <c r="W423" s="116"/>
      <c r="X423" s="116"/>
      <c r="Y423" s="116"/>
      <c r="Z423" s="116"/>
      <c r="AA423" s="116"/>
      <c r="AB423" s="116"/>
      <c r="AC423" s="116"/>
      <c r="AD423" s="116"/>
      <c r="AE423" s="116"/>
      <c r="AF423" s="116"/>
      <c r="AG423" s="116"/>
      <c r="AH423" s="116"/>
      <c r="AI423" s="116"/>
    </row>
    <row r="424" spans="1:35" x14ac:dyDescent="0.25">
      <c r="A424" s="116"/>
      <c r="B424" s="116"/>
      <c r="C424" s="116"/>
      <c r="D424" s="458"/>
      <c r="E424" s="116"/>
      <c r="F424" s="547"/>
      <c r="G424" s="116"/>
      <c r="H424" s="116"/>
      <c r="I424" s="116"/>
      <c r="J424" s="116"/>
      <c r="K424" s="469"/>
      <c r="L424" s="116"/>
      <c r="M424" s="116"/>
      <c r="N424" s="116"/>
      <c r="O424" s="554"/>
      <c r="P424" s="444"/>
      <c r="Q424" s="444"/>
      <c r="R424" s="116"/>
      <c r="S424" s="458"/>
      <c r="T424" s="458"/>
      <c r="U424" s="116"/>
      <c r="V424" s="116"/>
      <c r="W424" s="116"/>
      <c r="X424" s="116"/>
      <c r="Y424" s="116"/>
      <c r="Z424" s="116"/>
      <c r="AA424" s="116"/>
      <c r="AB424" s="116"/>
      <c r="AC424" s="116"/>
      <c r="AD424" s="116"/>
      <c r="AE424" s="116"/>
      <c r="AF424" s="116"/>
      <c r="AG424" s="116"/>
      <c r="AH424" s="116"/>
      <c r="AI424" s="116"/>
    </row>
    <row r="425" spans="1:35" x14ac:dyDescent="0.25">
      <c r="A425" s="116"/>
      <c r="B425" s="116"/>
      <c r="C425" s="116"/>
      <c r="D425" s="458"/>
      <c r="E425" s="116"/>
      <c r="F425" s="547"/>
      <c r="G425" s="116"/>
      <c r="H425" s="116"/>
      <c r="I425" s="116"/>
      <c r="J425" s="116"/>
      <c r="K425" s="469"/>
      <c r="L425" s="116"/>
      <c r="M425" s="116"/>
      <c r="N425" s="116"/>
      <c r="O425" s="554"/>
      <c r="P425" s="444"/>
      <c r="Q425" s="444"/>
      <c r="R425" s="116"/>
      <c r="S425" s="458"/>
      <c r="T425" s="458"/>
      <c r="U425" s="116"/>
      <c r="V425" s="116"/>
      <c r="W425" s="116"/>
      <c r="X425" s="116"/>
      <c r="Y425" s="116"/>
      <c r="Z425" s="116"/>
      <c r="AA425" s="116"/>
      <c r="AB425" s="116"/>
      <c r="AC425" s="116"/>
      <c r="AD425" s="116"/>
      <c r="AE425" s="116"/>
      <c r="AF425" s="116"/>
      <c r="AG425" s="116"/>
      <c r="AH425" s="116"/>
      <c r="AI425" s="116"/>
    </row>
    <row r="426" spans="1:35" x14ac:dyDescent="0.25">
      <c r="A426" s="116"/>
      <c r="B426" s="116"/>
      <c r="C426" s="116"/>
      <c r="D426" s="458"/>
      <c r="E426" s="116"/>
      <c r="F426" s="547"/>
      <c r="G426" s="116"/>
      <c r="H426" s="116"/>
      <c r="I426" s="116"/>
      <c r="J426" s="116"/>
      <c r="K426" s="469"/>
      <c r="L426" s="116"/>
      <c r="M426" s="116"/>
      <c r="N426" s="116"/>
      <c r="O426" s="554"/>
      <c r="P426" s="444"/>
      <c r="Q426" s="444"/>
      <c r="R426" s="116"/>
      <c r="S426" s="458"/>
      <c r="T426" s="458"/>
      <c r="U426" s="116"/>
      <c r="V426" s="116"/>
      <c r="W426" s="116"/>
      <c r="X426" s="116"/>
      <c r="Y426" s="116"/>
      <c r="Z426" s="116"/>
      <c r="AA426" s="116"/>
      <c r="AB426" s="116"/>
      <c r="AC426" s="116"/>
      <c r="AD426" s="116"/>
      <c r="AE426" s="116"/>
      <c r="AF426" s="116"/>
      <c r="AG426" s="116"/>
      <c r="AH426" s="116"/>
      <c r="AI426" s="116"/>
    </row>
    <row r="427" spans="1:35" x14ac:dyDescent="0.25">
      <c r="A427" s="116"/>
      <c r="B427" s="116"/>
      <c r="C427" s="116"/>
      <c r="D427" s="458"/>
      <c r="E427" s="116"/>
      <c r="F427" s="547"/>
      <c r="G427" s="116"/>
      <c r="H427" s="116"/>
      <c r="I427" s="116"/>
      <c r="J427" s="116"/>
      <c r="K427" s="469"/>
      <c r="L427" s="116"/>
      <c r="M427" s="116"/>
      <c r="N427" s="116"/>
      <c r="O427" s="554"/>
      <c r="P427" s="444"/>
      <c r="Q427" s="444"/>
      <c r="R427" s="116"/>
      <c r="S427" s="458"/>
      <c r="T427" s="458"/>
      <c r="U427" s="116"/>
      <c r="V427" s="116"/>
      <c r="W427" s="116"/>
      <c r="X427" s="116"/>
      <c r="Y427" s="116"/>
      <c r="Z427" s="116"/>
      <c r="AA427" s="116"/>
      <c r="AB427" s="116"/>
      <c r="AC427" s="116"/>
      <c r="AD427" s="116"/>
      <c r="AE427" s="116"/>
      <c r="AF427" s="116"/>
      <c r="AG427" s="116"/>
      <c r="AH427" s="116"/>
      <c r="AI427" s="116"/>
    </row>
    <row r="428" spans="1:35" x14ac:dyDescent="0.25">
      <c r="A428" s="116"/>
      <c r="B428" s="116"/>
      <c r="C428" s="116"/>
      <c r="D428" s="458"/>
      <c r="E428" s="116"/>
      <c r="F428" s="547"/>
      <c r="G428" s="116"/>
      <c r="H428" s="116"/>
      <c r="I428" s="116"/>
      <c r="J428" s="116"/>
      <c r="K428" s="469"/>
      <c r="L428" s="116"/>
      <c r="M428" s="116"/>
      <c r="N428" s="116"/>
      <c r="O428" s="554"/>
      <c r="P428" s="444"/>
      <c r="Q428" s="444"/>
      <c r="R428" s="116"/>
      <c r="S428" s="458"/>
      <c r="T428" s="458"/>
      <c r="U428" s="116"/>
      <c r="V428" s="116"/>
      <c r="W428" s="116"/>
      <c r="X428" s="116"/>
      <c r="Y428" s="116"/>
      <c r="Z428" s="116"/>
      <c r="AA428" s="116"/>
      <c r="AB428" s="116"/>
      <c r="AC428" s="116"/>
      <c r="AD428" s="116"/>
      <c r="AE428" s="116"/>
      <c r="AF428" s="116"/>
      <c r="AG428" s="116"/>
      <c r="AH428" s="116"/>
      <c r="AI428" s="116"/>
    </row>
    <row r="429" spans="1:35" x14ac:dyDescent="0.25">
      <c r="A429" s="116"/>
      <c r="B429" s="116"/>
      <c r="C429" s="116"/>
      <c r="D429" s="458"/>
      <c r="E429" s="116"/>
      <c r="F429" s="547"/>
      <c r="G429" s="116"/>
      <c r="H429" s="116"/>
      <c r="I429" s="116"/>
      <c r="J429" s="116"/>
      <c r="K429" s="469"/>
      <c r="L429" s="116"/>
      <c r="M429" s="116"/>
      <c r="N429" s="116"/>
      <c r="O429" s="554"/>
      <c r="P429" s="444"/>
      <c r="Q429" s="444"/>
      <c r="R429" s="116"/>
      <c r="S429" s="458"/>
      <c r="T429" s="458"/>
      <c r="U429" s="116"/>
      <c r="V429" s="116"/>
      <c r="W429" s="116"/>
      <c r="X429" s="116"/>
      <c r="Y429" s="116"/>
      <c r="Z429" s="116"/>
      <c r="AA429" s="116"/>
      <c r="AB429" s="116"/>
      <c r="AC429" s="116"/>
      <c r="AD429" s="116"/>
      <c r="AE429" s="116"/>
      <c r="AF429" s="116"/>
      <c r="AG429" s="116"/>
      <c r="AH429" s="116"/>
      <c r="AI429" s="116"/>
    </row>
    <row r="430" spans="1:35" x14ac:dyDescent="0.25">
      <c r="A430" s="116"/>
      <c r="B430" s="116"/>
      <c r="C430" s="116"/>
      <c r="D430" s="458"/>
      <c r="E430" s="116"/>
      <c r="F430" s="547"/>
      <c r="G430" s="116"/>
      <c r="H430" s="116"/>
      <c r="I430" s="116"/>
      <c r="J430" s="116"/>
      <c r="K430" s="469"/>
      <c r="L430" s="116"/>
      <c r="M430" s="116"/>
      <c r="N430" s="116"/>
      <c r="O430" s="554"/>
      <c r="P430" s="444"/>
      <c r="Q430" s="444"/>
      <c r="R430" s="116"/>
      <c r="S430" s="458"/>
      <c r="T430" s="458"/>
      <c r="U430" s="116"/>
      <c r="V430" s="116"/>
      <c r="W430" s="116"/>
      <c r="X430" s="116"/>
      <c r="Y430" s="116"/>
      <c r="Z430" s="116"/>
      <c r="AA430" s="116"/>
      <c r="AB430" s="116"/>
      <c r="AC430" s="116"/>
      <c r="AD430" s="116"/>
      <c r="AE430" s="116"/>
      <c r="AF430" s="116"/>
      <c r="AG430" s="116"/>
      <c r="AH430" s="116"/>
      <c r="AI430" s="116"/>
    </row>
    <row r="431" spans="1:35" x14ac:dyDescent="0.25">
      <c r="A431" s="116"/>
      <c r="B431" s="116"/>
      <c r="C431" s="116"/>
      <c r="D431" s="458"/>
      <c r="E431" s="116"/>
      <c r="F431" s="547"/>
      <c r="G431" s="116"/>
      <c r="H431" s="116"/>
      <c r="I431" s="116"/>
      <c r="J431" s="116"/>
      <c r="K431" s="469"/>
      <c r="L431" s="116"/>
      <c r="M431" s="116"/>
      <c r="N431" s="116"/>
      <c r="O431" s="554"/>
      <c r="P431" s="444"/>
      <c r="Q431" s="444"/>
      <c r="R431" s="116"/>
      <c r="S431" s="458"/>
      <c r="T431" s="458"/>
      <c r="U431" s="116"/>
      <c r="V431" s="116"/>
      <c r="W431" s="116"/>
      <c r="X431" s="116"/>
      <c r="Y431" s="116"/>
      <c r="Z431" s="116"/>
      <c r="AA431" s="116"/>
      <c r="AB431" s="116"/>
      <c r="AC431" s="116"/>
      <c r="AD431" s="116"/>
      <c r="AE431" s="116"/>
      <c r="AF431" s="116"/>
      <c r="AG431" s="116"/>
      <c r="AH431" s="116"/>
      <c r="AI431" s="116"/>
    </row>
    <row r="432" spans="1:35" x14ac:dyDescent="0.25">
      <c r="A432" s="116"/>
      <c r="B432" s="116"/>
      <c r="C432" s="116"/>
      <c r="D432" s="458"/>
      <c r="E432" s="116"/>
      <c r="F432" s="547"/>
      <c r="G432" s="116"/>
      <c r="H432" s="116"/>
      <c r="I432" s="116"/>
      <c r="J432" s="116"/>
      <c r="K432" s="469"/>
      <c r="L432" s="116"/>
      <c r="M432" s="116"/>
      <c r="N432" s="116"/>
      <c r="O432" s="554"/>
      <c r="P432" s="444"/>
      <c r="Q432" s="444"/>
      <c r="R432" s="116"/>
      <c r="S432" s="458"/>
      <c r="T432" s="458"/>
      <c r="U432" s="116"/>
      <c r="V432" s="116"/>
      <c r="W432" s="116"/>
      <c r="X432" s="116"/>
      <c r="Y432" s="116"/>
      <c r="Z432" s="116"/>
      <c r="AA432" s="116"/>
      <c r="AB432" s="116"/>
      <c r="AC432" s="116"/>
      <c r="AD432" s="116"/>
      <c r="AE432" s="116"/>
      <c r="AF432" s="116"/>
      <c r="AG432" s="116"/>
      <c r="AH432" s="116"/>
      <c r="AI432" s="116"/>
    </row>
    <row r="433" spans="1:35" x14ac:dyDescent="0.25">
      <c r="A433" s="116"/>
      <c r="B433" s="116"/>
      <c r="C433" s="116"/>
      <c r="D433" s="458"/>
      <c r="E433" s="116"/>
      <c r="F433" s="547"/>
      <c r="G433" s="116"/>
      <c r="H433" s="116"/>
      <c r="I433" s="116"/>
      <c r="J433" s="116"/>
      <c r="K433" s="469"/>
      <c r="L433" s="116"/>
      <c r="M433" s="116"/>
      <c r="N433" s="116"/>
      <c r="O433" s="554"/>
      <c r="P433" s="444"/>
      <c r="Q433" s="444"/>
      <c r="R433" s="116"/>
      <c r="S433" s="458"/>
      <c r="T433" s="458"/>
      <c r="U433" s="116"/>
      <c r="V433" s="116"/>
      <c r="W433" s="116"/>
      <c r="X433" s="116"/>
      <c r="Y433" s="116"/>
      <c r="Z433" s="116"/>
      <c r="AA433" s="116"/>
      <c r="AB433" s="116"/>
      <c r="AC433" s="116"/>
      <c r="AD433" s="116"/>
      <c r="AE433" s="116"/>
      <c r="AF433" s="116"/>
      <c r="AG433" s="116"/>
      <c r="AH433" s="116"/>
      <c r="AI433" s="116"/>
    </row>
    <row r="434" spans="1:35" x14ac:dyDescent="0.25">
      <c r="A434" s="116"/>
      <c r="B434" s="116"/>
      <c r="C434" s="116"/>
      <c r="D434" s="458"/>
      <c r="E434" s="116"/>
      <c r="F434" s="547"/>
      <c r="G434" s="116"/>
      <c r="H434" s="116"/>
      <c r="I434" s="116"/>
      <c r="J434" s="116"/>
      <c r="K434" s="469"/>
      <c r="L434" s="116"/>
      <c r="M434" s="116"/>
      <c r="N434" s="116"/>
      <c r="O434" s="554"/>
      <c r="P434" s="444"/>
      <c r="Q434" s="444"/>
      <c r="R434" s="116"/>
      <c r="S434" s="458"/>
      <c r="T434" s="458"/>
      <c r="U434" s="116"/>
      <c r="V434" s="116"/>
      <c r="W434" s="116"/>
      <c r="X434" s="116"/>
      <c r="Y434" s="116"/>
      <c r="Z434" s="116"/>
      <c r="AA434" s="116"/>
      <c r="AB434" s="116"/>
      <c r="AC434" s="116"/>
      <c r="AD434" s="116"/>
      <c r="AE434" s="116"/>
      <c r="AF434" s="116"/>
      <c r="AG434" s="116"/>
      <c r="AH434" s="116"/>
      <c r="AI434" s="116"/>
    </row>
    <row r="435" spans="1:35" x14ac:dyDescent="0.25">
      <c r="A435" s="116"/>
      <c r="B435" s="116"/>
      <c r="C435" s="116"/>
      <c r="D435" s="458"/>
      <c r="E435" s="116"/>
      <c r="F435" s="547"/>
      <c r="G435" s="116"/>
      <c r="H435" s="116"/>
      <c r="I435" s="116"/>
      <c r="J435" s="116"/>
      <c r="K435" s="469"/>
      <c r="L435" s="116"/>
      <c r="M435" s="116"/>
      <c r="N435" s="116"/>
      <c r="O435" s="554"/>
      <c r="P435" s="444"/>
      <c r="Q435" s="444"/>
      <c r="R435" s="116"/>
      <c r="S435" s="458"/>
      <c r="T435" s="458"/>
      <c r="U435" s="116"/>
      <c r="V435" s="116"/>
      <c r="W435" s="116"/>
      <c r="X435" s="116"/>
      <c r="Y435" s="116"/>
      <c r="Z435" s="116"/>
      <c r="AA435" s="116"/>
      <c r="AB435" s="116"/>
      <c r="AC435" s="116"/>
      <c r="AD435" s="116"/>
      <c r="AE435" s="116"/>
      <c r="AF435" s="116"/>
      <c r="AG435" s="116"/>
      <c r="AH435" s="116"/>
      <c r="AI435" s="116"/>
    </row>
    <row r="436" spans="1:35" x14ac:dyDescent="0.25">
      <c r="A436" s="116"/>
      <c r="B436" s="116"/>
      <c r="C436" s="116"/>
      <c r="D436" s="458"/>
      <c r="E436" s="116"/>
      <c r="F436" s="547"/>
      <c r="G436" s="116"/>
      <c r="H436" s="116"/>
      <c r="I436" s="116"/>
      <c r="J436" s="116"/>
      <c r="K436" s="469"/>
      <c r="L436" s="116"/>
      <c r="M436" s="116"/>
      <c r="N436" s="116"/>
      <c r="O436" s="554"/>
      <c r="P436" s="444"/>
      <c r="Q436" s="444"/>
      <c r="R436" s="116"/>
      <c r="S436" s="458"/>
      <c r="T436" s="458"/>
      <c r="U436" s="116"/>
      <c r="V436" s="116"/>
      <c r="W436" s="116"/>
      <c r="X436" s="116"/>
      <c r="Y436" s="116"/>
      <c r="Z436" s="116"/>
      <c r="AA436" s="116"/>
      <c r="AB436" s="116"/>
      <c r="AC436" s="116"/>
      <c r="AD436" s="116"/>
      <c r="AE436" s="116"/>
      <c r="AF436" s="116"/>
      <c r="AG436" s="116"/>
      <c r="AH436" s="116"/>
      <c r="AI436" s="116"/>
    </row>
    <row r="437" spans="1:35" x14ac:dyDescent="0.25">
      <c r="A437" s="116"/>
      <c r="B437" s="116"/>
      <c r="C437" s="116"/>
      <c r="D437" s="458"/>
      <c r="E437" s="116"/>
      <c r="F437" s="547"/>
      <c r="G437" s="116"/>
      <c r="H437" s="116"/>
      <c r="I437" s="116"/>
      <c r="J437" s="116"/>
      <c r="K437" s="469"/>
      <c r="L437" s="116"/>
      <c r="M437" s="116"/>
      <c r="N437" s="116"/>
      <c r="O437" s="554"/>
      <c r="P437" s="444"/>
      <c r="Q437" s="444"/>
      <c r="R437" s="116"/>
      <c r="S437" s="458"/>
      <c r="T437" s="458"/>
      <c r="U437" s="116"/>
      <c r="V437" s="116"/>
      <c r="W437" s="116"/>
      <c r="X437" s="116"/>
      <c r="Y437" s="116"/>
      <c r="Z437" s="116"/>
      <c r="AA437" s="116"/>
      <c r="AB437" s="116"/>
      <c r="AC437" s="116"/>
      <c r="AD437" s="116"/>
      <c r="AE437" s="116"/>
      <c r="AF437" s="116"/>
      <c r="AG437" s="116"/>
      <c r="AH437" s="116"/>
      <c r="AI437" s="116"/>
    </row>
    <row r="438" spans="1:35" x14ac:dyDescent="0.25">
      <c r="A438" s="116"/>
      <c r="B438" s="116"/>
      <c r="C438" s="116"/>
      <c r="D438" s="458"/>
      <c r="E438" s="116"/>
      <c r="F438" s="547"/>
      <c r="G438" s="116"/>
      <c r="H438" s="116"/>
      <c r="I438" s="116"/>
      <c r="J438" s="116"/>
      <c r="K438" s="469"/>
      <c r="L438" s="116"/>
      <c r="M438" s="116"/>
      <c r="N438" s="116"/>
      <c r="O438" s="554"/>
      <c r="P438" s="444"/>
      <c r="Q438" s="444"/>
      <c r="R438" s="116"/>
      <c r="S438" s="458"/>
      <c r="T438" s="458"/>
      <c r="U438" s="116"/>
      <c r="V438" s="116"/>
      <c r="W438" s="116"/>
      <c r="X438" s="116"/>
      <c r="Y438" s="116"/>
      <c r="Z438" s="116"/>
      <c r="AA438" s="116"/>
      <c r="AB438" s="116"/>
      <c r="AC438" s="116"/>
      <c r="AD438" s="116"/>
      <c r="AE438" s="116"/>
      <c r="AF438" s="116"/>
      <c r="AG438" s="116"/>
      <c r="AH438" s="116"/>
      <c r="AI438" s="116"/>
    </row>
    <row r="439" spans="1:35" x14ac:dyDescent="0.25">
      <c r="A439" s="116"/>
      <c r="B439" s="116"/>
      <c r="C439" s="116"/>
      <c r="D439" s="458"/>
      <c r="E439" s="116"/>
      <c r="F439" s="547"/>
      <c r="G439" s="116"/>
      <c r="H439" s="116"/>
      <c r="I439" s="116"/>
      <c r="J439" s="116"/>
      <c r="K439" s="469"/>
      <c r="L439" s="116"/>
      <c r="M439" s="116"/>
      <c r="N439" s="116"/>
      <c r="O439" s="554"/>
      <c r="P439" s="444"/>
      <c r="Q439" s="444"/>
      <c r="R439" s="116"/>
      <c r="S439" s="458"/>
      <c r="T439" s="458"/>
      <c r="U439" s="116"/>
      <c r="V439" s="116"/>
      <c r="W439" s="116"/>
      <c r="X439" s="116"/>
      <c r="Y439" s="116"/>
      <c r="Z439" s="116"/>
      <c r="AA439" s="116"/>
      <c r="AB439" s="116"/>
      <c r="AC439" s="116"/>
      <c r="AD439" s="116"/>
      <c r="AE439" s="116"/>
      <c r="AF439" s="116"/>
      <c r="AG439" s="116"/>
      <c r="AH439" s="116"/>
      <c r="AI439" s="116"/>
    </row>
    <row r="440" spans="1:35" x14ac:dyDescent="0.25">
      <c r="A440" s="116"/>
      <c r="B440" s="116"/>
      <c r="C440" s="116"/>
      <c r="D440" s="458"/>
      <c r="E440" s="116"/>
      <c r="F440" s="547"/>
      <c r="G440" s="116"/>
      <c r="H440" s="116"/>
      <c r="I440" s="116"/>
      <c r="J440" s="116"/>
      <c r="K440" s="469"/>
      <c r="L440" s="116"/>
      <c r="M440" s="116"/>
      <c r="N440" s="116"/>
      <c r="O440" s="554"/>
      <c r="P440" s="444"/>
      <c r="Q440" s="444"/>
      <c r="R440" s="116"/>
      <c r="S440" s="458"/>
      <c r="T440" s="458"/>
      <c r="U440" s="116"/>
      <c r="V440" s="116"/>
      <c r="W440" s="116"/>
      <c r="X440" s="116"/>
      <c r="Y440" s="116"/>
      <c r="Z440" s="116"/>
      <c r="AA440" s="116"/>
      <c r="AB440" s="116"/>
      <c r="AC440" s="116"/>
      <c r="AD440" s="116"/>
      <c r="AE440" s="116"/>
      <c r="AF440" s="116"/>
      <c r="AG440" s="116"/>
      <c r="AH440" s="116"/>
      <c r="AI440" s="116"/>
    </row>
    <row r="441" spans="1:35" x14ac:dyDescent="0.25">
      <c r="A441" s="116"/>
      <c r="B441" s="116"/>
      <c r="C441" s="116"/>
      <c r="D441" s="458"/>
      <c r="E441" s="116"/>
      <c r="F441" s="547"/>
      <c r="G441" s="116"/>
      <c r="H441" s="116"/>
      <c r="I441" s="116"/>
      <c r="J441" s="116"/>
      <c r="K441" s="469"/>
      <c r="L441" s="116"/>
      <c r="M441" s="116"/>
      <c r="N441" s="116"/>
      <c r="O441" s="554"/>
      <c r="P441" s="444"/>
      <c r="Q441" s="444"/>
      <c r="R441" s="116"/>
      <c r="S441" s="458"/>
      <c r="T441" s="458"/>
      <c r="U441" s="116"/>
      <c r="V441" s="116"/>
      <c r="W441" s="116"/>
      <c r="X441" s="116"/>
      <c r="Y441" s="116"/>
      <c r="Z441" s="116"/>
      <c r="AA441" s="116"/>
      <c r="AB441" s="116"/>
      <c r="AC441" s="116"/>
      <c r="AD441" s="116"/>
      <c r="AE441" s="116"/>
      <c r="AF441" s="116"/>
      <c r="AG441" s="116"/>
      <c r="AH441" s="116"/>
      <c r="AI441" s="116"/>
    </row>
    <row r="442" spans="1:35" x14ac:dyDescent="0.25">
      <c r="A442" s="116"/>
      <c r="B442" s="116"/>
      <c r="C442" s="116"/>
      <c r="D442" s="458"/>
      <c r="E442" s="116"/>
      <c r="F442" s="547"/>
      <c r="G442" s="116"/>
      <c r="H442" s="116"/>
      <c r="I442" s="116"/>
      <c r="J442" s="116"/>
      <c r="K442" s="469"/>
      <c r="L442" s="116"/>
      <c r="M442" s="116"/>
      <c r="N442" s="116"/>
      <c r="O442" s="554"/>
      <c r="P442" s="444"/>
      <c r="Q442" s="444"/>
      <c r="R442" s="116"/>
      <c r="S442" s="458"/>
      <c r="T442" s="458"/>
      <c r="U442" s="116"/>
      <c r="V442" s="116"/>
      <c r="W442" s="116"/>
      <c r="X442" s="116"/>
      <c r="Y442" s="116"/>
      <c r="Z442" s="116"/>
      <c r="AA442" s="116"/>
      <c r="AB442" s="116"/>
      <c r="AC442" s="116"/>
      <c r="AD442" s="116"/>
      <c r="AE442" s="116"/>
      <c r="AF442" s="116"/>
      <c r="AG442" s="116"/>
      <c r="AH442" s="116"/>
      <c r="AI442" s="116"/>
    </row>
    <row r="443" spans="1:35" x14ac:dyDescent="0.25">
      <c r="A443" s="116"/>
      <c r="B443" s="116"/>
      <c r="C443" s="116"/>
      <c r="D443" s="458"/>
      <c r="E443" s="116"/>
      <c r="F443" s="547"/>
      <c r="G443" s="116"/>
      <c r="H443" s="116"/>
      <c r="I443" s="116"/>
      <c r="J443" s="116"/>
      <c r="K443" s="469"/>
      <c r="L443" s="116"/>
      <c r="M443" s="116"/>
      <c r="N443" s="116"/>
      <c r="O443" s="554"/>
      <c r="P443" s="444"/>
      <c r="Q443" s="444"/>
      <c r="R443" s="116"/>
      <c r="S443" s="458"/>
      <c r="T443" s="458"/>
      <c r="U443" s="116"/>
      <c r="V443" s="116"/>
      <c r="W443" s="116"/>
      <c r="X443" s="116"/>
      <c r="Y443" s="116"/>
      <c r="Z443" s="116"/>
      <c r="AA443" s="116"/>
      <c r="AB443" s="116"/>
      <c r="AC443" s="116"/>
      <c r="AD443" s="116"/>
      <c r="AE443" s="116"/>
      <c r="AF443" s="116"/>
      <c r="AG443" s="116"/>
      <c r="AH443" s="116"/>
      <c r="AI443" s="116"/>
    </row>
    <row r="444" spans="1:35" x14ac:dyDescent="0.25">
      <c r="A444" s="116"/>
      <c r="B444" s="116"/>
      <c r="C444" s="116"/>
      <c r="D444" s="458"/>
      <c r="E444" s="116"/>
      <c r="F444" s="547"/>
      <c r="G444" s="116"/>
      <c r="H444" s="116"/>
      <c r="I444" s="116"/>
      <c r="J444" s="116"/>
      <c r="K444" s="469"/>
      <c r="L444" s="116"/>
      <c r="M444" s="116"/>
      <c r="N444" s="116"/>
      <c r="O444" s="554"/>
      <c r="P444" s="444"/>
      <c r="Q444" s="444"/>
      <c r="R444" s="116"/>
      <c r="S444" s="458"/>
      <c r="T444" s="458"/>
      <c r="U444" s="116"/>
      <c r="V444" s="116"/>
      <c r="W444" s="116"/>
      <c r="X444" s="116"/>
      <c r="Y444" s="116"/>
      <c r="Z444" s="116"/>
      <c r="AA444" s="116"/>
      <c r="AB444" s="116"/>
      <c r="AC444" s="116"/>
      <c r="AD444" s="116"/>
      <c r="AE444" s="116"/>
      <c r="AF444" s="116"/>
      <c r="AG444" s="116"/>
      <c r="AH444" s="116"/>
      <c r="AI444" s="116"/>
    </row>
    <row r="445" spans="1:35" x14ac:dyDescent="0.25">
      <c r="A445" s="116"/>
      <c r="B445" s="116"/>
      <c r="C445" s="116"/>
      <c r="D445" s="458"/>
      <c r="E445" s="116"/>
      <c r="F445" s="547"/>
      <c r="G445" s="116"/>
      <c r="H445" s="116"/>
      <c r="I445" s="116"/>
      <c r="J445" s="116"/>
      <c r="K445" s="469"/>
      <c r="L445" s="116"/>
      <c r="M445" s="116"/>
      <c r="N445" s="116"/>
      <c r="O445" s="554"/>
      <c r="P445" s="444"/>
      <c r="Q445" s="444"/>
      <c r="R445" s="116"/>
      <c r="S445" s="458"/>
      <c r="T445" s="458"/>
      <c r="U445" s="116"/>
      <c r="V445" s="116"/>
      <c r="W445" s="116"/>
      <c r="X445" s="116"/>
      <c r="Y445" s="116"/>
      <c r="Z445" s="116"/>
      <c r="AA445" s="116"/>
      <c r="AB445" s="116"/>
      <c r="AC445" s="116"/>
      <c r="AD445" s="116"/>
      <c r="AE445" s="116"/>
      <c r="AF445" s="116"/>
      <c r="AG445" s="116"/>
      <c r="AH445" s="116"/>
      <c r="AI445" s="116"/>
    </row>
    <row r="446" spans="1:35" x14ac:dyDescent="0.25">
      <c r="A446" s="116"/>
      <c r="B446" s="116"/>
      <c r="C446" s="116"/>
      <c r="D446" s="458"/>
      <c r="E446" s="116"/>
      <c r="F446" s="547"/>
      <c r="G446" s="116"/>
      <c r="H446" s="116"/>
      <c r="I446" s="116"/>
      <c r="J446" s="116"/>
      <c r="K446" s="469"/>
      <c r="L446" s="116"/>
      <c r="M446" s="116"/>
      <c r="N446" s="116"/>
      <c r="O446" s="554"/>
      <c r="P446" s="444"/>
      <c r="Q446" s="444"/>
      <c r="R446" s="116"/>
      <c r="S446" s="458"/>
      <c r="T446" s="458"/>
      <c r="U446" s="116"/>
      <c r="V446" s="116"/>
      <c r="W446" s="116"/>
      <c r="X446" s="116"/>
      <c r="Y446" s="116"/>
      <c r="Z446" s="116"/>
      <c r="AA446" s="116"/>
      <c r="AB446" s="116"/>
      <c r="AC446" s="116"/>
      <c r="AD446" s="116"/>
      <c r="AE446" s="116"/>
      <c r="AF446" s="116"/>
      <c r="AG446" s="116"/>
      <c r="AH446" s="116"/>
      <c r="AI446" s="116"/>
    </row>
    <row r="447" spans="1:35" x14ac:dyDescent="0.25">
      <c r="A447" s="116"/>
      <c r="B447" s="116"/>
      <c r="C447" s="116"/>
      <c r="D447" s="458"/>
      <c r="E447" s="116"/>
      <c r="F447" s="547"/>
      <c r="G447" s="116"/>
      <c r="H447" s="116"/>
      <c r="I447" s="116"/>
      <c r="J447" s="116"/>
      <c r="K447" s="469"/>
      <c r="L447" s="116"/>
      <c r="M447" s="116"/>
      <c r="N447" s="116"/>
      <c r="O447" s="554"/>
      <c r="P447" s="444"/>
      <c r="Q447" s="444"/>
      <c r="R447" s="116"/>
      <c r="S447" s="458"/>
      <c r="T447" s="458"/>
      <c r="U447" s="116"/>
      <c r="V447" s="116"/>
      <c r="W447" s="116"/>
      <c r="X447" s="116"/>
      <c r="Y447" s="116"/>
      <c r="Z447" s="116"/>
      <c r="AA447" s="116"/>
      <c r="AB447" s="116"/>
      <c r="AC447" s="116"/>
      <c r="AD447" s="116"/>
      <c r="AE447" s="116"/>
      <c r="AF447" s="116"/>
      <c r="AG447" s="116"/>
      <c r="AH447" s="116"/>
      <c r="AI447" s="116"/>
    </row>
    <row r="448" spans="1:35" x14ac:dyDescent="0.25">
      <c r="A448" s="116"/>
      <c r="B448" s="116"/>
      <c r="C448" s="116"/>
      <c r="D448" s="458"/>
      <c r="E448" s="116"/>
      <c r="F448" s="547"/>
      <c r="G448" s="116"/>
      <c r="H448" s="116"/>
      <c r="I448" s="116"/>
      <c r="J448" s="116"/>
      <c r="K448" s="469"/>
      <c r="L448" s="116"/>
      <c r="M448" s="116"/>
      <c r="N448" s="116"/>
      <c r="O448" s="116"/>
      <c r="P448" s="116"/>
      <c r="Q448" s="116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  <c r="AB448" s="116"/>
      <c r="AC448" s="116"/>
      <c r="AD448" s="116"/>
      <c r="AE448" s="116"/>
      <c r="AF448" s="116"/>
      <c r="AG448" s="116"/>
      <c r="AH448" s="116"/>
      <c r="AI448" s="116"/>
    </row>
    <row r="449" spans="1:35" x14ac:dyDescent="0.25">
      <c r="A449" s="116"/>
      <c r="B449" s="116"/>
      <c r="C449" s="116"/>
      <c r="D449" s="458"/>
      <c r="E449" s="116"/>
      <c r="F449" s="547"/>
      <c r="G449" s="116"/>
      <c r="H449" s="116"/>
      <c r="I449" s="116"/>
      <c r="J449" s="116"/>
      <c r="K449" s="469"/>
      <c r="L449" s="116"/>
      <c r="M449" s="116"/>
      <c r="N449" s="116"/>
      <c r="O449" s="116"/>
      <c r="P449" s="116"/>
      <c r="Q449" s="116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  <c r="AB449" s="116"/>
      <c r="AC449" s="116"/>
      <c r="AD449" s="116"/>
      <c r="AE449" s="116"/>
      <c r="AF449" s="116"/>
      <c r="AG449" s="116"/>
      <c r="AH449" s="116"/>
      <c r="AI449" s="116"/>
    </row>
    <row r="450" spans="1:35" x14ac:dyDescent="0.25">
      <c r="A450" s="116"/>
      <c r="B450" s="116"/>
      <c r="C450" s="116"/>
      <c r="D450" s="458"/>
      <c r="E450" s="116"/>
      <c r="F450" s="547"/>
      <c r="G450" s="116"/>
      <c r="H450" s="116"/>
      <c r="I450" s="116"/>
      <c r="J450" s="116"/>
      <c r="K450" s="469"/>
      <c r="L450" s="116"/>
      <c r="M450" s="116"/>
      <c r="N450" s="116"/>
    </row>
    <row r="451" spans="1:35" x14ac:dyDescent="0.25">
      <c r="A451" s="116"/>
      <c r="B451" s="116"/>
      <c r="C451" s="116"/>
      <c r="D451" s="458"/>
      <c r="E451" s="116"/>
      <c r="F451" s="547"/>
      <c r="G451" s="116"/>
      <c r="H451" s="116"/>
      <c r="I451" s="116"/>
      <c r="J451" s="116"/>
      <c r="K451" s="469"/>
      <c r="L451" s="116"/>
      <c r="M451" s="116"/>
      <c r="N451" s="116"/>
    </row>
    <row r="452" spans="1:35" x14ac:dyDescent="0.25">
      <c r="A452" s="116"/>
      <c r="B452" s="116"/>
      <c r="C452" s="116"/>
      <c r="D452" s="458"/>
      <c r="E452" s="116"/>
      <c r="F452" s="547"/>
      <c r="G452" s="116"/>
      <c r="H452" s="116"/>
      <c r="I452" s="116"/>
      <c r="J452" s="116"/>
      <c r="K452" s="469"/>
      <c r="L452" s="116"/>
      <c r="M452" s="116"/>
      <c r="N452" s="116"/>
    </row>
    <row r="453" spans="1:35" x14ac:dyDescent="0.25">
      <c r="A453" s="116"/>
      <c r="B453" s="116"/>
      <c r="C453" s="116"/>
      <c r="D453" s="458"/>
      <c r="E453" s="116"/>
      <c r="F453" s="547"/>
      <c r="G453" s="116"/>
      <c r="H453" s="116"/>
      <c r="I453" s="116"/>
      <c r="J453" s="116"/>
      <c r="K453" s="469"/>
      <c r="L453" s="116"/>
      <c r="M453" s="116"/>
      <c r="N453" s="116"/>
    </row>
    <row r="454" spans="1:35" x14ac:dyDescent="0.25">
      <c r="A454" s="116"/>
      <c r="B454" s="116"/>
      <c r="C454" s="116"/>
      <c r="D454" s="458"/>
      <c r="E454" s="116"/>
      <c r="F454" s="547"/>
      <c r="G454" s="116"/>
      <c r="H454" s="116"/>
      <c r="I454" s="116"/>
      <c r="J454" s="116"/>
      <c r="K454" s="469"/>
      <c r="L454" s="116"/>
      <c r="M454" s="116"/>
      <c r="N454" s="116"/>
    </row>
    <row r="455" spans="1:35" x14ac:dyDescent="0.25">
      <c r="A455" s="116"/>
      <c r="B455" s="116"/>
      <c r="C455" s="116"/>
      <c r="D455" s="458"/>
      <c r="E455" s="116"/>
      <c r="F455" s="547"/>
      <c r="G455" s="116"/>
      <c r="H455" s="116"/>
      <c r="I455" s="116"/>
      <c r="J455" s="116"/>
      <c r="K455" s="469"/>
      <c r="L455" s="116"/>
      <c r="M455" s="116"/>
      <c r="N455" s="116"/>
    </row>
    <row r="456" spans="1:35" x14ac:dyDescent="0.25">
      <c r="A456" s="116"/>
      <c r="B456" s="116"/>
      <c r="C456" s="116"/>
      <c r="D456" s="458"/>
      <c r="E456" s="116"/>
      <c r="F456" s="547"/>
      <c r="G456" s="116"/>
      <c r="H456" s="116"/>
      <c r="I456" s="116"/>
      <c r="J456" s="116"/>
      <c r="K456" s="469"/>
      <c r="L456" s="116"/>
      <c r="M456" s="116"/>
      <c r="N456" s="116"/>
    </row>
    <row r="457" spans="1:35" x14ac:dyDescent="0.25">
      <c r="A457" s="116"/>
      <c r="B457" s="116"/>
      <c r="C457" s="116"/>
      <c r="D457" s="458"/>
      <c r="E457" s="116"/>
      <c r="F457" s="547"/>
      <c r="G457" s="116"/>
      <c r="H457" s="116"/>
      <c r="I457" s="116"/>
      <c r="J457" s="116"/>
      <c r="K457" s="469"/>
      <c r="L457" s="116"/>
      <c r="M457" s="116"/>
      <c r="N457" s="116"/>
    </row>
    <row r="458" spans="1:35" x14ac:dyDescent="0.25">
      <c r="A458" s="116"/>
      <c r="B458" s="116"/>
      <c r="C458" s="116"/>
      <c r="D458" s="458"/>
      <c r="E458" s="116"/>
      <c r="F458" s="547"/>
      <c r="G458" s="116"/>
      <c r="H458" s="116"/>
      <c r="I458" s="116"/>
      <c r="J458" s="116"/>
      <c r="K458" s="469"/>
      <c r="L458" s="116"/>
      <c r="M458" s="116"/>
      <c r="N458" s="116"/>
    </row>
    <row r="459" spans="1:35" x14ac:dyDescent="0.25">
      <c r="A459" s="116"/>
      <c r="B459" s="116"/>
      <c r="C459" s="116"/>
      <c r="D459" s="458"/>
      <c r="E459" s="116"/>
      <c r="F459" s="547"/>
      <c r="G459" s="116"/>
      <c r="H459" s="116"/>
      <c r="I459" s="116"/>
      <c r="J459" s="116"/>
      <c r="K459" s="469"/>
      <c r="L459" s="116"/>
      <c r="M459" s="116"/>
      <c r="N459" s="116"/>
    </row>
    <row r="460" spans="1:35" x14ac:dyDescent="0.25">
      <c r="A460" s="116"/>
      <c r="B460" s="116"/>
      <c r="C460" s="116"/>
      <c r="D460" s="458"/>
      <c r="E460" s="116"/>
      <c r="F460" s="547"/>
      <c r="G460" s="116"/>
      <c r="H460" s="116"/>
      <c r="I460" s="116"/>
      <c r="J460" s="116"/>
      <c r="K460" s="469"/>
      <c r="L460" s="116"/>
      <c r="M460" s="116"/>
      <c r="N460" s="116"/>
    </row>
    <row r="461" spans="1:35" x14ac:dyDescent="0.25">
      <c r="A461" s="116"/>
      <c r="B461" s="116"/>
      <c r="C461" s="116"/>
      <c r="D461" s="458"/>
      <c r="E461" s="116"/>
      <c r="F461" s="547"/>
      <c r="G461" s="116"/>
      <c r="H461" s="116"/>
      <c r="I461" s="116"/>
      <c r="J461" s="116"/>
      <c r="K461" s="469"/>
      <c r="L461" s="116"/>
      <c r="M461" s="116"/>
      <c r="N461" s="116"/>
    </row>
    <row r="462" spans="1:35" x14ac:dyDescent="0.25">
      <c r="A462" s="116"/>
      <c r="B462" s="116"/>
      <c r="C462" s="116"/>
      <c r="D462" s="458"/>
      <c r="E462" s="116"/>
      <c r="F462" s="547"/>
      <c r="G462" s="116"/>
      <c r="H462" s="116"/>
      <c r="I462" s="116"/>
      <c r="J462" s="116"/>
      <c r="K462" s="469"/>
      <c r="L462" s="116"/>
      <c r="M462" s="116"/>
      <c r="N462" s="116"/>
    </row>
    <row r="463" spans="1:35" x14ac:dyDescent="0.25">
      <c r="A463" s="116"/>
      <c r="B463" s="116"/>
      <c r="C463" s="116"/>
      <c r="D463" s="458"/>
      <c r="E463" s="116"/>
      <c r="F463" s="547"/>
      <c r="G463" s="116"/>
      <c r="H463" s="116"/>
      <c r="I463" s="116"/>
      <c r="J463" s="116"/>
      <c r="K463" s="469"/>
      <c r="L463" s="116"/>
      <c r="M463" s="116"/>
      <c r="N463" s="116"/>
    </row>
    <row r="464" spans="1:35" x14ac:dyDescent="0.25">
      <c r="A464" s="116"/>
      <c r="B464" s="116"/>
      <c r="C464" s="116"/>
      <c r="D464" s="458"/>
      <c r="E464" s="116"/>
      <c r="F464" s="547"/>
      <c r="G464" s="116"/>
      <c r="H464" s="116"/>
      <c r="I464" s="116"/>
      <c r="J464" s="116"/>
      <c r="K464" s="469"/>
      <c r="L464" s="116"/>
      <c r="M464" s="116"/>
      <c r="N464" s="116"/>
    </row>
    <row r="465" spans="1:14" x14ac:dyDescent="0.25">
      <c r="A465" s="116"/>
      <c r="B465" s="116"/>
      <c r="C465" s="116"/>
      <c r="D465" s="458"/>
      <c r="E465" s="116"/>
      <c r="F465" s="547"/>
      <c r="G465" s="116"/>
      <c r="H465" s="116"/>
      <c r="I465" s="116"/>
      <c r="J465" s="116"/>
      <c r="K465" s="469"/>
      <c r="L465" s="116"/>
      <c r="M465" s="116"/>
      <c r="N465" s="116"/>
    </row>
    <row r="466" spans="1:14" x14ac:dyDescent="0.25">
      <c r="A466" s="116"/>
      <c r="B466" s="116"/>
      <c r="C466" s="116"/>
      <c r="D466" s="458"/>
      <c r="E466" s="116"/>
      <c r="F466" s="547"/>
      <c r="G466" s="116"/>
      <c r="H466" s="116"/>
      <c r="I466" s="116"/>
      <c r="J466" s="116"/>
      <c r="K466" s="469"/>
      <c r="L466" s="116"/>
      <c r="M466" s="116"/>
      <c r="N466" s="116"/>
    </row>
    <row r="467" spans="1:14" x14ac:dyDescent="0.25">
      <c r="A467" s="116"/>
      <c r="B467" s="116"/>
      <c r="C467" s="116"/>
      <c r="D467" s="458"/>
      <c r="E467" s="116"/>
      <c r="F467" s="547"/>
      <c r="G467" s="116"/>
      <c r="H467" s="116"/>
      <c r="I467" s="116"/>
      <c r="J467" s="116"/>
      <c r="K467" s="469"/>
      <c r="L467" s="116"/>
      <c r="M467" s="116"/>
      <c r="N467" s="116"/>
    </row>
    <row r="468" spans="1:14" x14ac:dyDescent="0.25">
      <c r="A468" s="116"/>
      <c r="B468" s="116"/>
      <c r="C468" s="116"/>
      <c r="D468" s="458"/>
      <c r="E468" s="116"/>
      <c r="F468" s="547"/>
      <c r="G468" s="116"/>
      <c r="H468" s="116"/>
      <c r="I468" s="116"/>
      <c r="J468" s="116"/>
      <c r="K468" s="469"/>
      <c r="L468" s="116"/>
      <c r="M468" s="116"/>
      <c r="N468" s="116"/>
    </row>
    <row r="469" spans="1:14" x14ac:dyDescent="0.25">
      <c r="A469" s="116"/>
      <c r="B469" s="116"/>
      <c r="C469" s="116"/>
      <c r="D469" s="458"/>
      <c r="E469" s="116"/>
      <c r="F469" s="547"/>
      <c r="G469" s="116"/>
      <c r="H469" s="116"/>
      <c r="I469" s="116"/>
      <c r="J469" s="116"/>
      <c r="K469" s="469"/>
      <c r="L469" s="116"/>
      <c r="M469" s="116"/>
      <c r="N469" s="116"/>
    </row>
    <row r="470" spans="1:14" x14ac:dyDescent="0.25">
      <c r="A470" s="116"/>
      <c r="B470" s="116"/>
      <c r="C470" s="116"/>
      <c r="D470" s="458"/>
      <c r="E470" s="116"/>
      <c r="F470" s="547"/>
      <c r="G470" s="116"/>
      <c r="H470" s="116"/>
      <c r="I470" s="116"/>
      <c r="J470" s="116"/>
      <c r="K470" s="469"/>
      <c r="L470" s="116"/>
      <c r="M470" s="116"/>
      <c r="N470" s="116"/>
    </row>
    <row r="471" spans="1:14" x14ac:dyDescent="0.25">
      <c r="A471" s="116"/>
      <c r="B471" s="116"/>
      <c r="C471" s="116"/>
      <c r="D471" s="458"/>
      <c r="E471" s="116"/>
      <c r="F471" s="547"/>
      <c r="G471" s="116"/>
      <c r="H471" s="116"/>
      <c r="I471" s="116"/>
      <c r="J471" s="116"/>
      <c r="K471" s="469"/>
      <c r="L471" s="116"/>
      <c r="M471" s="116"/>
      <c r="N471" s="116"/>
    </row>
    <row r="472" spans="1:14" x14ac:dyDescent="0.25">
      <c r="A472" s="116"/>
      <c r="B472" s="116"/>
      <c r="C472" s="116"/>
      <c r="D472" s="458"/>
      <c r="E472" s="116"/>
      <c r="F472" s="547"/>
      <c r="G472" s="116"/>
      <c r="H472" s="116"/>
      <c r="I472" s="116"/>
      <c r="J472" s="116"/>
      <c r="K472" s="469"/>
      <c r="L472" s="116"/>
      <c r="M472" s="116"/>
      <c r="N472" s="116"/>
    </row>
    <row r="473" spans="1:14" x14ac:dyDescent="0.25">
      <c r="A473" s="116"/>
      <c r="B473" s="116"/>
      <c r="C473" s="116"/>
      <c r="D473" s="458"/>
      <c r="E473" s="116"/>
      <c r="F473" s="547"/>
      <c r="G473" s="116"/>
      <c r="H473" s="116"/>
      <c r="I473" s="116"/>
      <c r="J473" s="116"/>
      <c r="K473" s="469"/>
      <c r="L473" s="116"/>
      <c r="M473" s="116"/>
      <c r="N473" s="116"/>
    </row>
    <row r="474" spans="1:14" x14ac:dyDescent="0.25">
      <c r="A474" s="116"/>
      <c r="B474" s="116"/>
      <c r="C474" s="116"/>
      <c r="D474" s="458"/>
      <c r="E474" s="116"/>
      <c r="F474" s="547"/>
      <c r="G474" s="116"/>
      <c r="H474" s="116"/>
      <c r="I474" s="116"/>
      <c r="J474" s="116"/>
      <c r="K474" s="469"/>
      <c r="L474" s="116"/>
      <c r="M474" s="116"/>
      <c r="N474" s="116"/>
    </row>
    <row r="475" spans="1:14" x14ac:dyDescent="0.25">
      <c r="A475" s="116"/>
      <c r="B475" s="116"/>
      <c r="C475" s="116"/>
      <c r="D475" s="458"/>
      <c r="E475" s="116"/>
      <c r="F475" s="547"/>
      <c r="G475" s="116"/>
      <c r="H475" s="116"/>
      <c r="I475" s="116"/>
      <c r="J475" s="116"/>
      <c r="K475" s="469"/>
      <c r="L475" s="116"/>
      <c r="M475" s="116"/>
      <c r="N475" s="116"/>
    </row>
    <row r="476" spans="1:14" x14ac:dyDescent="0.25">
      <c r="A476" s="116"/>
      <c r="B476" s="116"/>
      <c r="C476" s="116"/>
      <c r="D476" s="458"/>
      <c r="E476" s="116"/>
      <c r="F476" s="547"/>
      <c r="G476" s="116"/>
      <c r="H476" s="116"/>
      <c r="I476" s="116"/>
      <c r="J476" s="116"/>
      <c r="K476" s="469"/>
      <c r="L476" s="116"/>
      <c r="M476" s="116"/>
      <c r="N476" s="116"/>
    </row>
    <row r="477" spans="1:14" x14ac:dyDescent="0.25">
      <c r="A477" s="116"/>
      <c r="B477" s="116"/>
      <c r="C477" s="116"/>
      <c r="D477" s="458"/>
      <c r="E477" s="116"/>
      <c r="F477" s="547"/>
      <c r="G477" s="116"/>
      <c r="H477" s="116"/>
      <c r="I477" s="116"/>
      <c r="J477" s="116"/>
      <c r="K477" s="469"/>
      <c r="L477" s="116"/>
      <c r="M477" s="116"/>
      <c r="N477" s="116"/>
    </row>
    <row r="478" spans="1:14" x14ac:dyDescent="0.25">
      <c r="A478" s="116"/>
      <c r="B478" s="116"/>
      <c r="C478" s="116"/>
      <c r="D478" s="458"/>
      <c r="E478" s="116"/>
      <c r="F478" s="547"/>
      <c r="G478" s="116"/>
      <c r="H478" s="116"/>
      <c r="I478" s="116"/>
      <c r="J478" s="116"/>
      <c r="K478" s="469"/>
      <c r="L478" s="116"/>
      <c r="M478" s="116"/>
      <c r="N478" s="116"/>
    </row>
  </sheetData>
  <mergeCells count="25">
    <mergeCell ref="A3:F3"/>
    <mergeCell ref="H3:M3"/>
    <mergeCell ref="O5:O16"/>
    <mergeCell ref="O17:O28"/>
    <mergeCell ref="O149:O160"/>
    <mergeCell ref="O77:O88"/>
    <mergeCell ref="O89:O100"/>
    <mergeCell ref="O101:O112"/>
    <mergeCell ref="O113:O124"/>
    <mergeCell ref="O125:O136"/>
    <mergeCell ref="O137:O148"/>
    <mergeCell ref="AD23:AE23"/>
    <mergeCell ref="O29:O40"/>
    <mergeCell ref="O41:O52"/>
    <mergeCell ref="O53:O64"/>
    <mergeCell ref="O65:O76"/>
    <mergeCell ref="W23:X23"/>
    <mergeCell ref="Z23:AA23"/>
    <mergeCell ref="W262:X262"/>
    <mergeCell ref="Z262:AA262"/>
    <mergeCell ref="AD262:AE262"/>
    <mergeCell ref="O161:O172"/>
    <mergeCell ref="O173:O184"/>
    <mergeCell ref="O185:O196"/>
    <mergeCell ref="O197:O208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Análisis Econ CCGT Nuevo</vt:lpstr>
      <vt:lpstr>Análisis Finan CCGT Nuevo</vt:lpstr>
      <vt:lpstr>Análisis Econ CCGT Nuevo (2)</vt:lpstr>
      <vt:lpstr>Análisis Econ ISCC Nuevo</vt:lpstr>
      <vt:lpstr>Análisis Finan ISCC Nuevo</vt:lpstr>
      <vt:lpstr>Análisis Econ CCGT GT Sauz</vt:lpstr>
      <vt:lpstr>Análisis Finan CCGT GT Sauz</vt:lpstr>
      <vt:lpstr>Tasa de descuento</vt:lpstr>
      <vt:lpstr>Calculo precio energia</vt:lpstr>
      <vt:lpstr>Hoja1</vt:lpstr>
      <vt:lpstr>Emisiones</vt:lpstr>
      <vt:lpstr>Comparación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</dc:creator>
  <cp:lastModifiedBy>Nelson</cp:lastModifiedBy>
  <dcterms:created xsi:type="dcterms:W3CDTF">2018-07-13T04:30:20Z</dcterms:created>
  <dcterms:modified xsi:type="dcterms:W3CDTF">2018-10-11T18:08:14Z</dcterms:modified>
</cp:coreProperties>
</file>